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4. 31 ม.ค. 66\"/>
    </mc:Choice>
  </mc:AlternateContent>
  <xr:revisionPtr revIDLastSave="0" documentId="13_ncr:1_{77AADB16-8597-4474-A986-1724C3C0B200}" xr6:coauthVersionLast="37" xr6:coauthVersionMax="37" xr10:uidLastSave="{00000000-0000-0000-0000-000000000000}"/>
  <bookViews>
    <workbookView xWindow="0" yWindow="0" windowWidth="12960" windowHeight="799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3">เชียงใหม่!$A$1:$P$828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L353" i="15" l="1"/>
  <c r="J828" i="18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N807" i="18" s="1"/>
  <c r="N805" i="18" s="1"/>
  <c r="P809" i="18"/>
  <c r="O809" i="18"/>
  <c r="M808" i="18"/>
  <c r="P808" i="18" s="1"/>
  <c r="L808" i="18"/>
  <c r="O808" i="18" s="1"/>
  <c r="M807" i="18"/>
  <c r="P807" i="18" s="1"/>
  <c r="L807" i="18"/>
  <c r="O807" i="18" s="1"/>
  <c r="P806" i="18"/>
  <c r="N806" i="18"/>
  <c r="M806" i="18"/>
  <c r="M805" i="18" s="1"/>
  <c r="P805" i="18" s="1"/>
  <c r="L806" i="18"/>
  <c r="O806" i="18" s="1"/>
  <c r="K804" i="18"/>
  <c r="J804" i="18"/>
  <c r="K802" i="18"/>
  <c r="J801" i="18"/>
  <c r="J800" i="18"/>
  <c r="J785" i="18" s="1"/>
  <c r="I800" i="18"/>
  <c r="I785" i="18" s="1"/>
  <c r="K785" i="18" s="1"/>
  <c r="P798" i="18"/>
  <c r="O798" i="18"/>
  <c r="P797" i="18"/>
  <c r="O797" i="18"/>
  <c r="O796" i="18"/>
  <c r="N796" i="18"/>
  <c r="M796" i="18"/>
  <c r="P796" i="18" s="1"/>
  <c r="L796" i="18"/>
  <c r="P791" i="18"/>
  <c r="N791" i="18"/>
  <c r="N788" i="18" s="1"/>
  <c r="N786" i="18" s="1"/>
  <c r="L791" i="18"/>
  <c r="L789" i="18" s="1"/>
  <c r="O789" i="18" s="1"/>
  <c r="P790" i="18"/>
  <c r="O790" i="18"/>
  <c r="N789" i="18"/>
  <c r="M789" i="18"/>
  <c r="P789" i="18" s="1"/>
  <c r="M788" i="18"/>
  <c r="P788" i="18" s="1"/>
  <c r="L788" i="18"/>
  <c r="O788" i="18" s="1"/>
  <c r="P787" i="18"/>
  <c r="N787" i="18"/>
  <c r="M787" i="18"/>
  <c r="L787" i="18"/>
  <c r="O787" i="18" s="1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P774" i="18"/>
  <c r="O774" i="18"/>
  <c r="O773" i="18"/>
  <c r="N773" i="18"/>
  <c r="M773" i="18"/>
  <c r="P773" i="18" s="1"/>
  <c r="L773" i="18"/>
  <c r="N772" i="18"/>
  <c r="N770" i="18" s="1"/>
  <c r="M772" i="18"/>
  <c r="P772" i="18" s="1"/>
  <c r="L772" i="18"/>
  <c r="O772" i="18" s="1"/>
  <c r="N771" i="18"/>
  <c r="M771" i="18"/>
  <c r="P771" i="18" s="1"/>
  <c r="L771" i="18"/>
  <c r="O771" i="18" s="1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O757" i="18"/>
  <c r="N757" i="18"/>
  <c r="M757" i="18"/>
  <c r="P757" i="18" s="1"/>
  <c r="L757" i="18"/>
  <c r="N756" i="18"/>
  <c r="N754" i="18" s="1"/>
  <c r="M756" i="18"/>
  <c r="P756" i="18" s="1"/>
  <c r="L756" i="18"/>
  <c r="O756" i="18" s="1"/>
  <c r="N755" i="18"/>
  <c r="M755" i="18"/>
  <c r="P755" i="18" s="1"/>
  <c r="L755" i="18"/>
  <c r="O755" i="18" s="1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P741" i="18"/>
  <c r="O741" i="18"/>
  <c r="O740" i="18"/>
  <c r="N740" i="18"/>
  <c r="M740" i="18"/>
  <c r="P740" i="18" s="1"/>
  <c r="L740" i="18"/>
  <c r="N739" i="18"/>
  <c r="N737" i="18" s="1"/>
  <c r="M739" i="18"/>
  <c r="P739" i="18" s="1"/>
  <c r="L739" i="18"/>
  <c r="O739" i="18" s="1"/>
  <c r="N738" i="18"/>
  <c r="M738" i="18"/>
  <c r="P738" i="18" s="1"/>
  <c r="L738" i="18"/>
  <c r="O738" i="18" s="1"/>
  <c r="K736" i="18"/>
  <c r="J736" i="18"/>
  <c r="J729" i="18"/>
  <c r="I729" i="18"/>
  <c r="K729" i="18" s="1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K708" i="18" s="1"/>
  <c r="I707" i="18"/>
  <c r="I704" i="18"/>
  <c r="J701" i="18"/>
  <c r="I701" i="18"/>
  <c r="J700" i="18"/>
  <c r="I700" i="18"/>
  <c r="J699" i="18"/>
  <c r="I699" i="18"/>
  <c r="P697" i="18"/>
  <c r="O697" i="18"/>
  <c r="P696" i="18"/>
  <c r="O696" i="18"/>
  <c r="P695" i="18"/>
  <c r="O695" i="18"/>
  <c r="N695" i="18"/>
  <c r="M695" i="18"/>
  <c r="L695" i="18"/>
  <c r="P690" i="18"/>
  <c r="N690" i="18"/>
  <c r="N687" i="18" s="1"/>
  <c r="N685" i="18" s="1"/>
  <c r="L690" i="18"/>
  <c r="L687" i="18" s="1"/>
  <c r="O687" i="18" s="1"/>
  <c r="N688" i="18"/>
  <c r="M688" i="18"/>
  <c r="P688" i="18" s="1"/>
  <c r="M687" i="18"/>
  <c r="P687" i="18" s="1"/>
  <c r="P686" i="18"/>
  <c r="N686" i="18"/>
  <c r="M686" i="18"/>
  <c r="L686" i="18"/>
  <c r="O686" i="18" s="1"/>
  <c r="J679" i="18"/>
  <c r="J678" i="18" s="1"/>
  <c r="I678" i="18"/>
  <c r="K678" i="18" s="1"/>
  <c r="J675" i="18"/>
  <c r="I671" i="18"/>
  <c r="K671" i="18" s="1"/>
  <c r="I670" i="18"/>
  <c r="K670" i="18" s="1"/>
  <c r="J669" i="18"/>
  <c r="I669" i="18"/>
  <c r="K672" i="18" s="1"/>
  <c r="P667" i="18"/>
  <c r="O667" i="18"/>
  <c r="P666" i="18"/>
  <c r="O666" i="18"/>
  <c r="P665" i="18"/>
  <c r="N665" i="18"/>
  <c r="M665" i="18"/>
  <c r="L665" i="18"/>
  <c r="O665" i="18" s="1"/>
  <c r="P660" i="18"/>
  <c r="N660" i="18"/>
  <c r="L660" i="18"/>
  <c r="L657" i="18" s="1"/>
  <c r="P659" i="18"/>
  <c r="O659" i="18"/>
  <c r="P658" i="18"/>
  <c r="N658" i="18"/>
  <c r="M658" i="18"/>
  <c r="P657" i="18"/>
  <c r="N657" i="18"/>
  <c r="M657" i="18"/>
  <c r="O656" i="18"/>
  <c r="N656" i="18"/>
  <c r="N655" i="18" s="1"/>
  <c r="M656" i="18"/>
  <c r="P656" i="18" s="1"/>
  <c r="L656" i="18"/>
  <c r="M655" i="18"/>
  <c r="P655" i="18" s="1"/>
  <c r="J654" i="18"/>
  <c r="K652" i="18"/>
  <c r="J652" i="18"/>
  <c r="J651" i="18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L639" i="18" s="1"/>
  <c r="O639" i="18" s="1"/>
  <c r="P640" i="18"/>
  <c r="O640" i="18"/>
  <c r="N639" i="18"/>
  <c r="M639" i="18"/>
  <c r="P639" i="18" s="1"/>
  <c r="P634" i="18"/>
  <c r="N634" i="18"/>
  <c r="L634" i="18"/>
  <c r="O634" i="18" s="1"/>
  <c r="P633" i="18"/>
  <c r="O633" i="18"/>
  <c r="N632" i="18"/>
  <c r="M632" i="18"/>
  <c r="P632" i="18" s="1"/>
  <c r="P631" i="18"/>
  <c r="N631" i="18"/>
  <c r="M631" i="18"/>
  <c r="P630" i="18"/>
  <c r="O630" i="18"/>
  <c r="N630" i="18"/>
  <c r="M630" i="18"/>
  <c r="L630" i="18"/>
  <c r="P629" i="18"/>
  <c r="N629" i="18"/>
  <c r="M629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4" i="18"/>
  <c r="I594" i="18"/>
  <c r="J593" i="18"/>
  <c r="I593" i="18"/>
  <c r="K593" i="18" s="1"/>
  <c r="J592" i="18"/>
  <c r="J583" i="18"/>
  <c r="J582" i="18"/>
  <c r="J577" i="18"/>
  <c r="I577" i="18"/>
  <c r="K577" i="18" s="1"/>
  <c r="J576" i="18"/>
  <c r="I576" i="18"/>
  <c r="K576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J559" i="18"/>
  <c r="J543" i="18" s="1"/>
  <c r="P557" i="18"/>
  <c r="L557" i="18"/>
  <c r="O557" i="18" s="1"/>
  <c r="P556" i="18"/>
  <c r="O556" i="18"/>
  <c r="P555" i="18"/>
  <c r="N555" i="18"/>
  <c r="M555" i="18"/>
  <c r="L555" i="18"/>
  <c r="O555" i="18" s="1"/>
  <c r="P549" i="18"/>
  <c r="N549" i="18"/>
  <c r="L549" i="18"/>
  <c r="O549" i="18" s="1"/>
  <c r="P548" i="18"/>
  <c r="O548" i="18"/>
  <c r="P547" i="18"/>
  <c r="N547" i="18"/>
  <c r="M547" i="18"/>
  <c r="N546" i="18"/>
  <c r="M546" i="18"/>
  <c r="P546" i="18" s="1"/>
  <c r="N545" i="18"/>
  <c r="N544" i="18" s="1"/>
  <c r="M545" i="18"/>
  <c r="P545" i="18" s="1"/>
  <c r="L545" i="18"/>
  <c r="O545" i="18" s="1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I522" i="18" s="1"/>
  <c r="P535" i="18"/>
  <c r="L535" i="18"/>
  <c r="L533" i="18" s="1"/>
  <c r="O533" i="18" s="1"/>
  <c r="P534" i="18"/>
  <c r="O534" i="18"/>
  <c r="N533" i="18"/>
  <c r="M533" i="18"/>
  <c r="P533" i="18" s="1"/>
  <c r="P528" i="18"/>
  <c r="N528" i="18"/>
  <c r="N525" i="18" s="1"/>
  <c r="N523" i="18" s="1"/>
  <c r="L528" i="18"/>
  <c r="L526" i="18" s="1"/>
  <c r="O526" i="18" s="1"/>
  <c r="P527" i="18"/>
  <c r="O527" i="18"/>
  <c r="N526" i="18"/>
  <c r="M526" i="18"/>
  <c r="P526" i="18" s="1"/>
  <c r="M525" i="18"/>
  <c r="P525" i="18" s="1"/>
  <c r="P524" i="18"/>
  <c r="N524" i="18"/>
  <c r="M524" i="18"/>
  <c r="L524" i="18"/>
  <c r="O524" i="18" s="1"/>
  <c r="K517" i="18"/>
  <c r="J517" i="18"/>
  <c r="K516" i="18"/>
  <c r="P514" i="18"/>
  <c r="O514" i="18"/>
  <c r="P513" i="18"/>
  <c r="O513" i="18"/>
  <c r="N512" i="18"/>
  <c r="M512" i="18"/>
  <c r="P512" i="18" s="1"/>
  <c r="L512" i="18"/>
  <c r="O512" i="18" s="1"/>
  <c r="P507" i="18"/>
  <c r="O507" i="18"/>
  <c r="N507" i="18"/>
  <c r="P506" i="18"/>
  <c r="O506" i="18"/>
  <c r="N505" i="18"/>
  <c r="M505" i="18"/>
  <c r="P505" i="18" s="1"/>
  <c r="L505" i="18"/>
  <c r="O505" i="18" s="1"/>
  <c r="P504" i="18"/>
  <c r="O504" i="18"/>
  <c r="N504" i="18"/>
  <c r="M504" i="18"/>
  <c r="L504" i="18"/>
  <c r="P503" i="18"/>
  <c r="O503" i="18"/>
  <c r="N503" i="18"/>
  <c r="M503" i="18"/>
  <c r="L503" i="18"/>
  <c r="O502" i="18"/>
  <c r="N502" i="18"/>
  <c r="M502" i="18"/>
  <c r="P502" i="18" s="1"/>
  <c r="L502" i="18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P472" i="18"/>
  <c r="N472" i="18"/>
  <c r="N469" i="18" s="1"/>
  <c r="N467" i="18" s="1"/>
  <c r="L472" i="18"/>
  <c r="O472" i="18" s="1"/>
  <c r="P471" i="18"/>
  <c r="O471" i="18"/>
  <c r="P470" i="18"/>
  <c r="N470" i="18"/>
  <c r="M470" i="18"/>
  <c r="L470" i="18"/>
  <c r="O470" i="18" s="1"/>
  <c r="P469" i="18"/>
  <c r="M469" i="18"/>
  <c r="M467" i="18" s="1"/>
  <c r="P467" i="18" s="1"/>
  <c r="P468" i="18"/>
  <c r="O468" i="18"/>
  <c r="N468" i="18"/>
  <c r="M468" i="18"/>
  <c r="L468" i="18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K460" i="18" s="1"/>
  <c r="K458" i="18"/>
  <c r="P456" i="18"/>
  <c r="L456" i="18"/>
  <c r="L454" i="18" s="1"/>
  <c r="O454" i="18" s="1"/>
  <c r="P455" i="18"/>
  <c r="O455" i="18"/>
  <c r="N454" i="18"/>
  <c r="M454" i="18"/>
  <c r="P454" i="18" s="1"/>
  <c r="P449" i="18"/>
  <c r="N449" i="18"/>
  <c r="L449" i="18"/>
  <c r="O449" i="18" s="1"/>
  <c r="P448" i="18"/>
  <c r="O448" i="18"/>
  <c r="N447" i="18"/>
  <c r="M447" i="18"/>
  <c r="P447" i="18" s="1"/>
  <c r="N446" i="18"/>
  <c r="M446" i="18"/>
  <c r="P446" i="18" s="1"/>
  <c r="P445" i="18"/>
  <c r="N445" i="18"/>
  <c r="N444" i="18" s="1"/>
  <c r="M445" i="18"/>
  <c r="M444" i="18" s="1"/>
  <c r="P444" i="18" s="1"/>
  <c r="L445" i="18"/>
  <c r="O445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K435" i="18" s="1"/>
  <c r="J434" i="18"/>
  <c r="P431" i="18"/>
  <c r="L431" i="18"/>
  <c r="L429" i="18" s="1"/>
  <c r="O429" i="18" s="1"/>
  <c r="P430" i="18"/>
  <c r="O430" i="18"/>
  <c r="N429" i="18"/>
  <c r="M429" i="18"/>
  <c r="P429" i="18" s="1"/>
  <c r="P424" i="18"/>
  <c r="N424" i="18"/>
  <c r="L424" i="18"/>
  <c r="O424" i="18" s="1"/>
  <c r="P423" i="18"/>
  <c r="O423" i="18"/>
  <c r="N422" i="18"/>
  <c r="M422" i="18"/>
  <c r="P422" i="18" s="1"/>
  <c r="N421" i="18"/>
  <c r="M421" i="18"/>
  <c r="P421" i="18" s="1"/>
  <c r="P420" i="18"/>
  <c r="N420" i="18"/>
  <c r="M420" i="18"/>
  <c r="M419" i="18" s="1"/>
  <c r="L420" i="18"/>
  <c r="O420" i="18" s="1"/>
  <c r="N419" i="18"/>
  <c r="J418" i="18"/>
  <c r="K413" i="18"/>
  <c r="K412" i="18"/>
  <c r="N410" i="18"/>
  <c r="N408" i="18" s="1"/>
  <c r="M410" i="18"/>
  <c r="P410" i="18" s="1"/>
  <c r="L410" i="18"/>
  <c r="L408" i="18" s="1"/>
  <c r="O408" i="18" s="1"/>
  <c r="P409" i="18"/>
  <c r="O409" i="18"/>
  <c r="N407" i="18"/>
  <c r="N405" i="18" s="1"/>
  <c r="M407" i="18"/>
  <c r="L407" i="18"/>
  <c r="L405" i="18" s="1"/>
  <c r="O405" i="18" s="1"/>
  <c r="P406" i="18"/>
  <c r="O406" i="18"/>
  <c r="O403" i="18"/>
  <c r="N403" i="18"/>
  <c r="M403" i="18"/>
  <c r="P403" i="18" s="1"/>
  <c r="L403" i="18"/>
  <c r="K401" i="18"/>
  <c r="J401" i="18"/>
  <c r="I401" i="18"/>
  <c r="K400" i="18"/>
  <c r="K399" i="18"/>
  <c r="N397" i="18"/>
  <c r="N395" i="18" s="1"/>
  <c r="M397" i="18"/>
  <c r="P397" i="18" s="1"/>
  <c r="L397" i="18"/>
  <c r="O397" i="18" s="1"/>
  <c r="P396" i="18"/>
  <c r="O396" i="18"/>
  <c r="N394" i="18"/>
  <c r="N392" i="18" s="1"/>
  <c r="M394" i="18"/>
  <c r="P394" i="18" s="1"/>
  <c r="L394" i="18"/>
  <c r="O394" i="18" s="1"/>
  <c r="P393" i="18"/>
  <c r="O393" i="18"/>
  <c r="P390" i="18"/>
  <c r="N390" i="18"/>
  <c r="M390" i="18"/>
  <c r="L390" i="18"/>
  <c r="O390" i="18" s="1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P352" i="18"/>
  <c r="O352" i="18"/>
  <c r="N350" i="18"/>
  <c r="N348" i="18" s="1"/>
  <c r="M350" i="18"/>
  <c r="M348" i="18" s="1"/>
  <c r="L350" i="18"/>
  <c r="P349" i="18"/>
  <c r="O349" i="18"/>
  <c r="P346" i="18"/>
  <c r="N346" i="18"/>
  <c r="M346" i="18"/>
  <c r="L346" i="18"/>
  <c r="O346" i="18" s="1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L334" i="18" s="1"/>
  <c r="O334" i="18" s="1"/>
  <c r="P335" i="18"/>
  <c r="O335" i="18"/>
  <c r="N333" i="18"/>
  <c r="M333" i="18"/>
  <c r="M331" i="18" s="1"/>
  <c r="L333" i="18"/>
  <c r="L331" i="18" s="1"/>
  <c r="P332" i="18"/>
  <c r="O332" i="18"/>
  <c r="P329" i="18"/>
  <c r="N329" i="18"/>
  <c r="M329" i="18"/>
  <c r="L329" i="18"/>
  <c r="O329" i="18" s="1"/>
  <c r="I327" i="18"/>
  <c r="I325" i="18"/>
  <c r="K325" i="18" s="1"/>
  <c r="N323" i="18"/>
  <c r="N321" i="18" s="1"/>
  <c r="M323" i="18"/>
  <c r="M321" i="18" s="1"/>
  <c r="P321" i="18" s="1"/>
  <c r="L323" i="18"/>
  <c r="O323" i="18" s="1"/>
  <c r="P322" i="18"/>
  <c r="O322" i="18"/>
  <c r="N320" i="18"/>
  <c r="M320" i="18"/>
  <c r="M318" i="18" s="1"/>
  <c r="L320" i="18"/>
  <c r="L318" i="18" s="1"/>
  <c r="P319" i="18"/>
  <c r="O319" i="18"/>
  <c r="N316" i="18"/>
  <c r="M316" i="18"/>
  <c r="P316" i="18" s="1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M304" i="18" s="1"/>
  <c r="P304" i="18" s="1"/>
  <c r="L306" i="18"/>
  <c r="O306" i="18" s="1"/>
  <c r="P305" i="18"/>
  <c r="O305" i="18"/>
  <c r="N303" i="18"/>
  <c r="M303" i="18"/>
  <c r="M301" i="18" s="1"/>
  <c r="L303" i="18"/>
  <c r="P302" i="18"/>
  <c r="O302" i="18"/>
  <c r="N299" i="18"/>
  <c r="M299" i="18"/>
  <c r="P299" i="18" s="1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K287" i="18" s="1"/>
  <c r="N285" i="18"/>
  <c r="N283" i="18" s="1"/>
  <c r="M285" i="18"/>
  <c r="P285" i="18" s="1"/>
  <c r="L285" i="18"/>
  <c r="O285" i="18" s="1"/>
  <c r="P284" i="18"/>
  <c r="O284" i="18"/>
  <c r="N282" i="18"/>
  <c r="N280" i="18" s="1"/>
  <c r="M282" i="18"/>
  <c r="L282" i="18"/>
  <c r="P281" i="18"/>
  <c r="O281" i="18"/>
  <c r="N278" i="18"/>
  <c r="M278" i="18"/>
  <c r="L278" i="18"/>
  <c r="O278" i="18" s="1"/>
  <c r="J276" i="18"/>
  <c r="I271" i="18"/>
  <c r="I260" i="18" s="1"/>
  <c r="N269" i="18"/>
  <c r="N267" i="18" s="1"/>
  <c r="M269" i="18"/>
  <c r="M267" i="18" s="1"/>
  <c r="P267" i="18" s="1"/>
  <c r="L269" i="18"/>
  <c r="O269" i="18" s="1"/>
  <c r="P268" i="18"/>
  <c r="O268" i="18"/>
  <c r="N266" i="18"/>
  <c r="N264" i="18" s="1"/>
  <c r="M266" i="18"/>
  <c r="M264" i="18" s="1"/>
  <c r="L266" i="18"/>
  <c r="P265" i="18"/>
  <c r="O265" i="18"/>
  <c r="N262" i="18"/>
  <c r="M262" i="18"/>
  <c r="L262" i="18"/>
  <c r="J260" i="18"/>
  <c r="K258" i="18"/>
  <c r="K257" i="18"/>
  <c r="I255" i="18"/>
  <c r="K255" i="18" s="1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N227" i="18" s="1"/>
  <c r="J237" i="18"/>
  <c r="J226" i="18" s="1"/>
  <c r="J180" i="18" s="1"/>
  <c r="J236" i="18"/>
  <c r="I236" i="18"/>
  <c r="K236" i="18" s="1"/>
  <c r="K235" i="18"/>
  <c r="J235" i="18"/>
  <c r="I235" i="18"/>
  <c r="J233" i="18"/>
  <c r="N231" i="18"/>
  <c r="N230" i="18"/>
  <c r="N229" i="18"/>
  <c r="N228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N184" i="18" s="1"/>
  <c r="M186" i="18"/>
  <c r="L186" i="18"/>
  <c r="P185" i="18"/>
  <c r="O185" i="18"/>
  <c r="P182" i="18"/>
  <c r="O182" i="18"/>
  <c r="N182" i="18"/>
  <c r="M182" i="18"/>
  <c r="L182" i="18"/>
  <c r="J177" i="18"/>
  <c r="J164" i="18" s="1"/>
  <c r="I176" i="18"/>
  <c r="K176" i="18" s="1"/>
  <c r="J174" i="18"/>
  <c r="N173" i="18"/>
  <c r="N171" i="18" s="1"/>
  <c r="M173" i="18"/>
  <c r="P173" i="18" s="1"/>
  <c r="L173" i="18"/>
  <c r="O173" i="18" s="1"/>
  <c r="P172" i="18"/>
  <c r="O172" i="18"/>
  <c r="N170" i="18"/>
  <c r="M170" i="18"/>
  <c r="M168" i="18" s="1"/>
  <c r="L170" i="18"/>
  <c r="P169" i="18"/>
  <c r="O169" i="18"/>
  <c r="P166" i="18"/>
  <c r="O166" i="18"/>
  <c r="N166" i="18"/>
  <c r="M166" i="18"/>
  <c r="L166" i="18"/>
  <c r="I159" i="18"/>
  <c r="K159" i="18" s="1"/>
  <c r="N157" i="18"/>
  <c r="M157" i="18"/>
  <c r="P157" i="18" s="1"/>
  <c r="L157" i="18"/>
  <c r="O157" i="18" s="1"/>
  <c r="P156" i="18"/>
  <c r="O156" i="18"/>
  <c r="N154" i="18"/>
  <c r="N152" i="18" s="1"/>
  <c r="M154" i="18"/>
  <c r="L154" i="18"/>
  <c r="P153" i="18"/>
  <c r="O153" i="18"/>
  <c r="N150" i="18"/>
  <c r="M150" i="18"/>
  <c r="L150" i="18"/>
  <c r="O150" i="18" s="1"/>
  <c r="J148" i="18"/>
  <c r="I146" i="18"/>
  <c r="K146" i="18" s="1"/>
  <c r="I145" i="18"/>
  <c r="I144" i="18"/>
  <c r="K144" i="18" s="1"/>
  <c r="N140" i="18"/>
  <c r="M140" i="18"/>
  <c r="M138" i="18" s="1"/>
  <c r="L140" i="18"/>
  <c r="L138" i="18" s="1"/>
  <c r="P139" i="18"/>
  <c r="O139" i="18"/>
  <c r="N137" i="18"/>
  <c r="N135" i="18" s="1"/>
  <c r="M137" i="18"/>
  <c r="M135" i="18" s="1"/>
  <c r="L137" i="18"/>
  <c r="P136" i="18"/>
  <c r="O136" i="18"/>
  <c r="P133" i="18"/>
  <c r="O133" i="18"/>
  <c r="N133" i="18"/>
  <c r="M133" i="18"/>
  <c r="L133" i="18"/>
  <c r="J130" i="18"/>
  <c r="N127" i="18"/>
  <c r="N125" i="18" s="1"/>
  <c r="M127" i="18"/>
  <c r="P127" i="18" s="1"/>
  <c r="L127" i="18"/>
  <c r="P126" i="18"/>
  <c r="O126" i="18"/>
  <c r="N124" i="18"/>
  <c r="N122" i="18" s="1"/>
  <c r="M124" i="18"/>
  <c r="P124" i="18" s="1"/>
  <c r="L124" i="18"/>
  <c r="P123" i="18"/>
  <c r="O123" i="18"/>
  <c r="N120" i="18"/>
  <c r="M120" i="18"/>
  <c r="L120" i="18"/>
  <c r="O120" i="18" s="1"/>
  <c r="I116" i="18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K99" i="18" s="1"/>
  <c r="J98" i="18"/>
  <c r="J86" i="18" s="1"/>
  <c r="I98" i="18"/>
  <c r="N96" i="18"/>
  <c r="N94" i="18" s="1"/>
  <c r="M96" i="18"/>
  <c r="P96" i="18" s="1"/>
  <c r="L96" i="18"/>
  <c r="O96" i="18" s="1"/>
  <c r="P95" i="18"/>
  <c r="O95" i="18"/>
  <c r="N93" i="18"/>
  <c r="M93" i="18"/>
  <c r="L93" i="18"/>
  <c r="P92" i="18"/>
  <c r="O92" i="18"/>
  <c r="P89" i="18"/>
  <c r="O89" i="18"/>
  <c r="N89" i="18"/>
  <c r="M89" i="18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65" i="18" s="1"/>
  <c r="J76" i="18"/>
  <c r="N74" i="18"/>
  <c r="N72" i="18" s="1"/>
  <c r="M74" i="18"/>
  <c r="P74" i="18" s="1"/>
  <c r="L74" i="18"/>
  <c r="O74" i="18" s="1"/>
  <c r="P73" i="18"/>
  <c r="O73" i="18"/>
  <c r="N71" i="18"/>
  <c r="N69" i="18" s="1"/>
  <c r="M71" i="18"/>
  <c r="L71" i="18"/>
  <c r="L69" i="18" s="1"/>
  <c r="P70" i="18"/>
  <c r="O70" i="18"/>
  <c r="P67" i="18"/>
  <c r="O67" i="18"/>
  <c r="N67" i="18"/>
  <c r="M67" i="18"/>
  <c r="L67" i="18"/>
  <c r="J64" i="18"/>
  <c r="N61" i="18"/>
  <c r="N59" i="18" s="1"/>
  <c r="M61" i="18"/>
  <c r="L61" i="18"/>
  <c r="P60" i="18"/>
  <c r="O60" i="18"/>
  <c r="N58" i="18"/>
  <c r="M58" i="18"/>
  <c r="L58" i="18"/>
  <c r="L56" i="18" s="1"/>
  <c r="P57" i="18"/>
  <c r="O57" i="18"/>
  <c r="N54" i="18"/>
  <c r="M54" i="18"/>
  <c r="P54" i="18" s="1"/>
  <c r="L54" i="18"/>
  <c r="O54" i="18" s="1"/>
  <c r="N49" i="18"/>
  <c r="M49" i="18"/>
  <c r="L49" i="18"/>
  <c r="O49" i="18" s="1"/>
  <c r="P48" i="18"/>
  <c r="O48" i="18"/>
  <c r="N46" i="18"/>
  <c r="N44" i="18" s="1"/>
  <c r="M46" i="18"/>
  <c r="M44" i="18" s="1"/>
  <c r="L46" i="18"/>
  <c r="P45" i="18"/>
  <c r="O45" i="18"/>
  <c r="P42" i="18"/>
  <c r="N42" i="18"/>
  <c r="M42" i="18"/>
  <c r="L42" i="18"/>
  <c r="N36" i="18"/>
  <c r="M36" i="18"/>
  <c r="P36" i="18" s="1"/>
  <c r="N35" i="18"/>
  <c r="M35" i="18"/>
  <c r="P35" i="18" s="1"/>
  <c r="L35" i="18"/>
  <c r="O35" i="18" s="1"/>
  <c r="P33" i="18"/>
  <c r="N33" i="18"/>
  <c r="N30" i="18" s="1"/>
  <c r="M33" i="18"/>
  <c r="O32" i="18"/>
  <c r="N32" i="18"/>
  <c r="N31" i="18" s="1"/>
  <c r="M32" i="18"/>
  <c r="P32" i="18" s="1"/>
  <c r="L32" i="18"/>
  <c r="M31" i="18"/>
  <c r="P31" i="18" s="1"/>
  <c r="P25" i="18"/>
  <c r="O25" i="18"/>
  <c r="N25" i="18"/>
  <c r="M25" i="18"/>
  <c r="L25" i="18"/>
  <c r="N22" i="18"/>
  <c r="M22" i="18"/>
  <c r="P22" i="18" s="1"/>
  <c r="L22" i="18"/>
  <c r="M19" i="18"/>
  <c r="N15" i="18"/>
  <c r="M15" i="18"/>
  <c r="P15" i="18" s="1"/>
  <c r="L15" i="18"/>
  <c r="O15" i="18" s="1"/>
  <c r="M12" i="18"/>
  <c r="P12" i="18" s="1"/>
  <c r="M9" i="18"/>
  <c r="P9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L806" i="17"/>
  <c r="O806" i="17" s="1"/>
  <c r="L805" i="17"/>
  <c r="O805" i="17" s="1"/>
  <c r="K804" i="17"/>
  <c r="J804" i="17"/>
  <c r="J803" i="17"/>
  <c r="I803" i="17"/>
  <c r="K803" i="17" s="1"/>
  <c r="J802" i="17"/>
  <c r="J801" i="17"/>
  <c r="I801" i="17"/>
  <c r="J800" i="17"/>
  <c r="P798" i="17"/>
  <c r="O798" i="17"/>
  <c r="P797" i="17"/>
  <c r="O797" i="17"/>
  <c r="N796" i="17"/>
  <c r="M796" i="17"/>
  <c r="P796" i="17" s="1"/>
  <c r="L796" i="17"/>
  <c r="O796" i="17" s="1"/>
  <c r="P791" i="17"/>
  <c r="N791" i="17"/>
  <c r="L791" i="17"/>
  <c r="O791" i="17" s="1"/>
  <c r="P790" i="17"/>
  <c r="O790" i="17"/>
  <c r="P789" i="17"/>
  <c r="N789" i="17"/>
  <c r="M789" i="17"/>
  <c r="L789" i="17"/>
  <c r="O789" i="17" s="1"/>
  <c r="P788" i="17"/>
  <c r="N788" i="17"/>
  <c r="M788" i="17"/>
  <c r="P787" i="17"/>
  <c r="O787" i="17"/>
  <c r="N787" i="17"/>
  <c r="M787" i="17"/>
  <c r="M786" i="17" s="1"/>
  <c r="P786" i="17" s="1"/>
  <c r="L787" i="17"/>
  <c r="N786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P774" i="17"/>
  <c r="O774" i="17"/>
  <c r="M773" i="17"/>
  <c r="P773" i="17" s="1"/>
  <c r="L773" i="17"/>
  <c r="O773" i="17" s="1"/>
  <c r="P772" i="17"/>
  <c r="M772" i="17"/>
  <c r="L772" i="17"/>
  <c r="P771" i="17"/>
  <c r="O771" i="17"/>
  <c r="N771" i="17"/>
  <c r="M771" i="17"/>
  <c r="L771" i="17"/>
  <c r="P770" i="17"/>
  <c r="M770" i="17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P758" i="17"/>
  <c r="O758" i="17"/>
  <c r="M757" i="17"/>
  <c r="P757" i="17" s="1"/>
  <c r="L757" i="17"/>
  <c r="O757" i="17" s="1"/>
  <c r="P756" i="17"/>
  <c r="M756" i="17"/>
  <c r="L756" i="17"/>
  <c r="P755" i="17"/>
  <c r="O755" i="17"/>
  <c r="N755" i="17"/>
  <c r="M755" i="17"/>
  <c r="L755" i="17"/>
  <c r="P754" i="17"/>
  <c r="M754" i="17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P741" i="17"/>
  <c r="O741" i="17"/>
  <c r="M740" i="17"/>
  <c r="P740" i="17" s="1"/>
  <c r="L740" i="17"/>
  <c r="O740" i="17" s="1"/>
  <c r="P739" i="17"/>
  <c r="M739" i="17"/>
  <c r="L739" i="17"/>
  <c r="P738" i="17"/>
  <c r="O738" i="17"/>
  <c r="N738" i="17"/>
  <c r="M738" i="17"/>
  <c r="L738" i="17"/>
  <c r="P737" i="17"/>
  <c r="M737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P695" i="17"/>
  <c r="O695" i="17"/>
  <c r="N695" i="17"/>
  <c r="M695" i="17"/>
  <c r="L695" i="17"/>
  <c r="P690" i="17"/>
  <c r="N690" i="17"/>
  <c r="L690" i="17"/>
  <c r="L688" i="17" s="1"/>
  <c r="O688" i="17" s="1"/>
  <c r="M688" i="17"/>
  <c r="P688" i="17" s="1"/>
  <c r="P687" i="17"/>
  <c r="M687" i="17"/>
  <c r="P686" i="17"/>
  <c r="O686" i="17"/>
  <c r="N686" i="17"/>
  <c r="M686" i="17"/>
  <c r="L686" i="17"/>
  <c r="M685" i="17"/>
  <c r="P685" i="17" s="1"/>
  <c r="J679" i="17"/>
  <c r="J678" i="17"/>
  <c r="I678" i="17"/>
  <c r="K678" i="17" s="1"/>
  <c r="J675" i="17"/>
  <c r="I671" i="17"/>
  <c r="K671" i="17" s="1"/>
  <c r="I670" i="17"/>
  <c r="K670" i="17" s="1"/>
  <c r="J669" i="17"/>
  <c r="J654" i="17" s="1"/>
  <c r="I669" i="17"/>
  <c r="P667" i="17"/>
  <c r="O667" i="17"/>
  <c r="P666" i="17"/>
  <c r="O666" i="17"/>
  <c r="P665" i="17"/>
  <c r="O665" i="17"/>
  <c r="N665" i="17"/>
  <c r="M665" i="17"/>
  <c r="L665" i="17"/>
  <c r="P660" i="17"/>
  <c r="N660" i="17"/>
  <c r="L660" i="17"/>
  <c r="L658" i="17" s="1"/>
  <c r="P659" i="17"/>
  <c r="O659" i="17"/>
  <c r="M658" i="17"/>
  <c r="P658" i="17" s="1"/>
  <c r="M657" i="17"/>
  <c r="P657" i="17" s="1"/>
  <c r="N656" i="17"/>
  <c r="M656" i="17"/>
  <c r="L656" i="17"/>
  <c r="O656" i="17" s="1"/>
  <c r="K652" i="17"/>
  <c r="J652" i="17"/>
  <c r="J651" i="17"/>
  <c r="J628" i="17" s="1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N639" i="17"/>
  <c r="M639" i="17"/>
  <c r="P639" i="17" s="1"/>
  <c r="P634" i="17"/>
  <c r="N634" i="17"/>
  <c r="N631" i="17" s="1"/>
  <c r="L634" i="17"/>
  <c r="O634" i="17" s="1"/>
  <c r="P633" i="17"/>
  <c r="O633" i="17"/>
  <c r="P632" i="17"/>
  <c r="N632" i="17"/>
  <c r="M632" i="17"/>
  <c r="L632" i="17"/>
  <c r="O632" i="17" s="1"/>
  <c r="P631" i="17"/>
  <c r="M631" i="17"/>
  <c r="P630" i="17"/>
  <c r="O630" i="17"/>
  <c r="N630" i="17"/>
  <c r="M630" i="17"/>
  <c r="L630" i="17"/>
  <c r="N629" i="17"/>
  <c r="M629" i="17"/>
  <c r="P629" i="17" s="1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6" i="17"/>
  <c r="J595" i="17"/>
  <c r="I594" i="17"/>
  <c r="K594" i="17" s="1"/>
  <c r="I593" i="17"/>
  <c r="K593" i="17" s="1"/>
  <c r="J583" i="17"/>
  <c r="J577" i="17" s="1"/>
  <c r="J582" i="17"/>
  <c r="I577" i="17"/>
  <c r="J576" i="17"/>
  <c r="J559" i="17" s="1"/>
  <c r="I576" i="17"/>
  <c r="I559" i="17" s="1"/>
  <c r="I543" i="17" s="1"/>
  <c r="J569" i="17"/>
  <c r="I569" i="17"/>
  <c r="K569" i="17" s="1"/>
  <c r="J568" i="17"/>
  <c r="I568" i="17"/>
  <c r="J561" i="17"/>
  <c r="I561" i="17"/>
  <c r="J560" i="17"/>
  <c r="I560" i="17"/>
  <c r="K560" i="17" s="1"/>
  <c r="P557" i="17"/>
  <c r="L557" i="17"/>
  <c r="L555" i="17" s="1"/>
  <c r="O555" i="17" s="1"/>
  <c r="P556" i="17"/>
  <c r="O556" i="17"/>
  <c r="P555" i="17"/>
  <c r="N555" i="17"/>
  <c r="N545" i="17" s="1"/>
  <c r="M555" i="17"/>
  <c r="P549" i="17"/>
  <c r="N549" i="17"/>
  <c r="N546" i="17" s="1"/>
  <c r="L549" i="17"/>
  <c r="P548" i="17"/>
  <c r="O548" i="17"/>
  <c r="M547" i="17"/>
  <c r="P547" i="17" s="1"/>
  <c r="M546" i="17"/>
  <c r="M545" i="17"/>
  <c r="P545" i="17" s="1"/>
  <c r="L545" i="17"/>
  <c r="J543" i="17"/>
  <c r="I542" i="17"/>
  <c r="K542" i="17" s="1"/>
  <c r="I541" i="17"/>
  <c r="K541" i="17" s="1"/>
  <c r="I540" i="17"/>
  <c r="K540" i="17" s="1"/>
  <c r="I539" i="17"/>
  <c r="K539" i="17" s="1"/>
  <c r="I538" i="17"/>
  <c r="I537" i="17"/>
  <c r="I522" i="17" s="1"/>
  <c r="K522" i="17" s="1"/>
  <c r="P535" i="17"/>
  <c r="L535" i="17"/>
  <c r="L533" i="17" s="1"/>
  <c r="O533" i="17" s="1"/>
  <c r="P534" i="17"/>
  <c r="O534" i="17"/>
  <c r="N533" i="17"/>
  <c r="M533" i="17"/>
  <c r="P533" i="17" s="1"/>
  <c r="P528" i="17"/>
  <c r="N528" i="17"/>
  <c r="L528" i="17"/>
  <c r="O528" i="17" s="1"/>
  <c r="P527" i="17"/>
  <c r="O527" i="17"/>
  <c r="P526" i="17"/>
  <c r="N526" i="17"/>
  <c r="M526" i="17"/>
  <c r="P525" i="17"/>
  <c r="N525" i="17"/>
  <c r="M525" i="17"/>
  <c r="P524" i="17"/>
  <c r="O524" i="17"/>
  <c r="N524" i="17"/>
  <c r="M524" i="17"/>
  <c r="L524" i="17"/>
  <c r="N523" i="17"/>
  <c r="M523" i="17"/>
  <c r="P523" i="17" s="1"/>
  <c r="K517" i="17"/>
  <c r="J517" i="17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N505" i="17" s="1"/>
  <c r="P506" i="17"/>
  <c r="O506" i="17"/>
  <c r="P505" i="17"/>
  <c r="O505" i="17"/>
  <c r="M505" i="17"/>
  <c r="L505" i="17"/>
  <c r="O504" i="17"/>
  <c r="N504" i="17"/>
  <c r="M504" i="17"/>
  <c r="P504" i="17" s="1"/>
  <c r="L504" i="17"/>
  <c r="N503" i="17"/>
  <c r="M503" i="17"/>
  <c r="P503" i="17" s="1"/>
  <c r="L503" i="17"/>
  <c r="O503" i="17" s="1"/>
  <c r="L502" i="17"/>
  <c r="O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P477" i="17"/>
  <c r="N477" i="17"/>
  <c r="M477" i="17"/>
  <c r="P472" i="17"/>
  <c r="N472" i="17"/>
  <c r="L472" i="17"/>
  <c r="O472" i="17" s="1"/>
  <c r="P471" i="17"/>
  <c r="O471" i="17"/>
  <c r="P470" i="17"/>
  <c r="N470" i="17"/>
  <c r="M470" i="17"/>
  <c r="L470" i="17"/>
  <c r="O470" i="17" s="1"/>
  <c r="N469" i="17"/>
  <c r="M469" i="17"/>
  <c r="P469" i="17" s="1"/>
  <c r="N468" i="17"/>
  <c r="N467" i="17" s="1"/>
  <c r="M468" i="17"/>
  <c r="P468" i="17" s="1"/>
  <c r="L468" i="17"/>
  <c r="O468" i="17" s="1"/>
  <c r="J466" i="17"/>
  <c r="I466" i="17"/>
  <c r="K466" i="17" s="1"/>
  <c r="J465" i="17"/>
  <c r="I465" i="17"/>
  <c r="K465" i="17" s="1"/>
  <c r="I464" i="17"/>
  <c r="I463" i="17"/>
  <c r="I462" i="17"/>
  <c r="K462" i="17" s="1"/>
  <c r="I460" i="17"/>
  <c r="I442" i="17" s="1"/>
  <c r="K442" i="17" s="1"/>
  <c r="K458" i="17"/>
  <c r="P456" i="17"/>
  <c r="L456" i="17"/>
  <c r="L454" i="17" s="1"/>
  <c r="O454" i="17" s="1"/>
  <c r="P455" i="17"/>
  <c r="O455" i="17"/>
  <c r="P454" i="17"/>
  <c r="N454" i="17"/>
  <c r="M454" i="17"/>
  <c r="P449" i="17"/>
  <c r="N449" i="17"/>
  <c r="L449" i="17"/>
  <c r="O449" i="17" s="1"/>
  <c r="P448" i="17"/>
  <c r="O448" i="17"/>
  <c r="P447" i="17"/>
  <c r="N447" i="17"/>
  <c r="M447" i="17"/>
  <c r="P446" i="17"/>
  <c r="N446" i="17"/>
  <c r="M446" i="17"/>
  <c r="O445" i="17"/>
  <c r="N445" i="17"/>
  <c r="M445" i="17"/>
  <c r="P445" i="17" s="1"/>
  <c r="L445" i="17"/>
  <c r="N444" i="17"/>
  <c r="M444" i="17"/>
  <c r="P444" i="17" s="1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K435" i="17" s="1"/>
  <c r="J434" i="17"/>
  <c r="P431" i="17"/>
  <c r="L431" i="17"/>
  <c r="O431" i="17" s="1"/>
  <c r="P430" i="17"/>
  <c r="O430" i="17"/>
  <c r="N429" i="17"/>
  <c r="M429" i="17"/>
  <c r="P429" i="17" s="1"/>
  <c r="P424" i="17"/>
  <c r="N424" i="17"/>
  <c r="N421" i="17" s="1"/>
  <c r="L424" i="17"/>
  <c r="O424" i="17" s="1"/>
  <c r="P423" i="17"/>
  <c r="O423" i="17"/>
  <c r="P422" i="17"/>
  <c r="N422" i="17"/>
  <c r="M422" i="17"/>
  <c r="L422" i="17"/>
  <c r="O422" i="17" s="1"/>
  <c r="P421" i="17"/>
  <c r="M421" i="17"/>
  <c r="P420" i="17"/>
  <c r="O420" i="17"/>
  <c r="N420" i="17"/>
  <c r="N419" i="17" s="1"/>
  <c r="M420" i="17"/>
  <c r="L420" i="17"/>
  <c r="M419" i="17"/>
  <c r="P419" i="17" s="1"/>
  <c r="J418" i="17"/>
  <c r="K413" i="17"/>
  <c r="K412" i="17"/>
  <c r="N410" i="17"/>
  <c r="M410" i="17"/>
  <c r="L410" i="17"/>
  <c r="O410" i="17" s="1"/>
  <c r="P409" i="17"/>
  <c r="O409" i="17"/>
  <c r="N407" i="17"/>
  <c r="N405" i="17" s="1"/>
  <c r="M407" i="17"/>
  <c r="L407" i="17"/>
  <c r="O407" i="17" s="1"/>
  <c r="P406" i="17"/>
  <c r="O406" i="17"/>
  <c r="N403" i="17"/>
  <c r="M403" i="17"/>
  <c r="L403" i="17"/>
  <c r="O403" i="17" s="1"/>
  <c r="K401" i="17"/>
  <c r="J401" i="17"/>
  <c r="I401" i="17"/>
  <c r="K400" i="17"/>
  <c r="K399" i="17"/>
  <c r="N397" i="17"/>
  <c r="M397" i="17"/>
  <c r="L397" i="17"/>
  <c r="L395" i="17" s="1"/>
  <c r="O395" i="17" s="1"/>
  <c r="P396" i="17"/>
  <c r="O396" i="17"/>
  <c r="N394" i="17"/>
  <c r="N392" i="17" s="1"/>
  <c r="M394" i="17"/>
  <c r="P394" i="17" s="1"/>
  <c r="L394" i="17"/>
  <c r="O394" i="17" s="1"/>
  <c r="P393" i="17"/>
  <c r="O393" i="17"/>
  <c r="O390" i="17"/>
  <c r="N390" i="17"/>
  <c r="M390" i="17"/>
  <c r="P390" i="17" s="1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L351" i="17" s="1"/>
  <c r="P352" i="17"/>
  <c r="O352" i="17"/>
  <c r="N350" i="17"/>
  <c r="N348" i="17" s="1"/>
  <c r="M350" i="17"/>
  <c r="M348" i="17" s="1"/>
  <c r="L350" i="17"/>
  <c r="P349" i="17"/>
  <c r="O349" i="17"/>
  <c r="O346" i="17"/>
  <c r="N346" i="17"/>
  <c r="M346" i="17"/>
  <c r="P346" i="17" s="1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O336" i="17" s="1"/>
  <c r="P335" i="17"/>
  <c r="O335" i="17"/>
  <c r="N333" i="17"/>
  <c r="N331" i="17" s="1"/>
  <c r="M333" i="17"/>
  <c r="M331" i="17" s="1"/>
  <c r="L333" i="17"/>
  <c r="L331" i="17" s="1"/>
  <c r="P332" i="17"/>
  <c r="O332" i="17"/>
  <c r="P329" i="17"/>
  <c r="O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O323" i="17" s="1"/>
  <c r="P322" i="17"/>
  <c r="O322" i="17"/>
  <c r="N320" i="17"/>
  <c r="N318" i="17" s="1"/>
  <c r="M320" i="17"/>
  <c r="P320" i="17" s="1"/>
  <c r="L320" i="17"/>
  <c r="O320" i="17" s="1"/>
  <c r="P319" i="17"/>
  <c r="O319" i="17"/>
  <c r="P316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L306" i="17"/>
  <c r="P305" i="17"/>
  <c r="O305" i="17"/>
  <c r="N303" i="17"/>
  <c r="M303" i="17"/>
  <c r="L303" i="17"/>
  <c r="L301" i="17" s="1"/>
  <c r="P302" i="17"/>
  <c r="O302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K288" i="17" s="1"/>
  <c r="I287" i="17"/>
  <c r="N285" i="17"/>
  <c r="N283" i="17" s="1"/>
  <c r="M285" i="17"/>
  <c r="M283" i="17" s="1"/>
  <c r="P283" i="17" s="1"/>
  <c r="L285" i="17"/>
  <c r="O285" i="17" s="1"/>
  <c r="P284" i="17"/>
  <c r="O284" i="17"/>
  <c r="N282" i="17"/>
  <c r="M282" i="17"/>
  <c r="L282" i="17"/>
  <c r="L280" i="17" s="1"/>
  <c r="P281" i="17"/>
  <c r="O281" i="17"/>
  <c r="O278" i="17"/>
  <c r="N278" i="17"/>
  <c r="M278" i="17"/>
  <c r="P278" i="17" s="1"/>
  <c r="L278" i="17"/>
  <c r="J276" i="17"/>
  <c r="I271" i="17"/>
  <c r="N269" i="17"/>
  <c r="N267" i="17" s="1"/>
  <c r="M269" i="17"/>
  <c r="P269" i="17" s="1"/>
  <c r="L269" i="17"/>
  <c r="O269" i="17" s="1"/>
  <c r="P268" i="17"/>
  <c r="O268" i="17"/>
  <c r="N266" i="17"/>
  <c r="N264" i="17" s="1"/>
  <c r="M266" i="17"/>
  <c r="L266" i="17"/>
  <c r="P265" i="17"/>
  <c r="O265" i="17"/>
  <c r="P262" i="17"/>
  <c r="O262" i="17"/>
  <c r="N262" i="17"/>
  <c r="M262" i="17"/>
  <c r="L262" i="17"/>
  <c r="J260" i="17"/>
  <c r="K258" i="17"/>
  <c r="K257" i="17"/>
  <c r="I255" i="17"/>
  <c r="I248" i="17" s="1"/>
  <c r="K248" i="17" s="1"/>
  <c r="L253" i="17"/>
  <c r="L252" i="17"/>
  <c r="L251" i="17"/>
  <c r="L250" i="17"/>
  <c r="P249" i="17"/>
  <c r="N249" i="17"/>
  <c r="J248" i="17"/>
  <c r="K247" i="17"/>
  <c r="K246" i="17"/>
  <c r="I244" i="17"/>
  <c r="K244" i="17" s="1"/>
  <c r="L242" i="17"/>
  <c r="L241" i="17"/>
  <c r="L240" i="17"/>
  <c r="L239" i="17"/>
  <c r="P238" i="17"/>
  <c r="N238" i="17"/>
  <c r="J237" i="17"/>
  <c r="J226" i="17" s="1"/>
  <c r="J180" i="17" s="1"/>
  <c r="K236" i="17"/>
  <c r="J236" i="17"/>
  <c r="I236" i="17"/>
  <c r="J235" i="17"/>
  <c r="I235" i="17"/>
  <c r="K235" i="17" s="1"/>
  <c r="J233" i="17"/>
  <c r="N231" i="17"/>
  <c r="N230" i="17"/>
  <c r="N229" i="17"/>
  <c r="N228" i="17"/>
  <c r="N227" i="17"/>
  <c r="I225" i="17"/>
  <c r="I224" i="17"/>
  <c r="I223" i="17"/>
  <c r="K223" i="17" s="1"/>
  <c r="L220" i="17"/>
  <c r="L219" i="17"/>
  <c r="L218" i="17"/>
  <c r="P217" i="17"/>
  <c r="N217" i="17"/>
  <c r="J216" i="17"/>
  <c r="I215" i="17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M187" i="17" s="1"/>
  <c r="P187" i="17" s="1"/>
  <c r="L189" i="17"/>
  <c r="L187" i="17" s="1"/>
  <c r="O187" i="17" s="1"/>
  <c r="P188" i="17"/>
  <c r="O188" i="17"/>
  <c r="N186" i="17"/>
  <c r="N184" i="17" s="1"/>
  <c r="M186" i="17"/>
  <c r="M184" i="17" s="1"/>
  <c r="L186" i="17"/>
  <c r="L184" i="17" s="1"/>
  <c r="P185" i="17"/>
  <c r="O185" i="17"/>
  <c r="N182" i="17"/>
  <c r="M182" i="17"/>
  <c r="P182" i="17" s="1"/>
  <c r="L182" i="17"/>
  <c r="J177" i="17"/>
  <c r="I176" i="17"/>
  <c r="J174" i="17"/>
  <c r="N173" i="17"/>
  <c r="N171" i="17" s="1"/>
  <c r="M173" i="17"/>
  <c r="M171" i="17" s="1"/>
  <c r="P171" i="17" s="1"/>
  <c r="L173" i="17"/>
  <c r="L171" i="17" s="1"/>
  <c r="O171" i="17" s="1"/>
  <c r="P172" i="17"/>
  <c r="O172" i="17"/>
  <c r="N170" i="17"/>
  <c r="N168" i="17" s="1"/>
  <c r="M170" i="17"/>
  <c r="M168" i="17" s="1"/>
  <c r="L170" i="17"/>
  <c r="P169" i="17"/>
  <c r="O169" i="17"/>
  <c r="N166" i="17"/>
  <c r="M166" i="17"/>
  <c r="P166" i="17" s="1"/>
  <c r="L166" i="17"/>
  <c r="J164" i="17"/>
  <c r="I159" i="17"/>
  <c r="K159" i="17" s="1"/>
  <c r="N157" i="17"/>
  <c r="N155" i="17" s="1"/>
  <c r="M157" i="17"/>
  <c r="L157" i="17"/>
  <c r="P156" i="17"/>
  <c r="O156" i="17"/>
  <c r="N154" i="17"/>
  <c r="N152" i="17" s="1"/>
  <c r="M154" i="17"/>
  <c r="L154" i="17"/>
  <c r="O154" i="17" s="1"/>
  <c r="P153" i="17"/>
  <c r="O153" i="17"/>
  <c r="P150" i="17"/>
  <c r="O150" i="17"/>
  <c r="N150" i="17"/>
  <c r="M150" i="17"/>
  <c r="L150" i="17"/>
  <c r="J148" i="17"/>
  <c r="I146" i="17"/>
  <c r="I145" i="17"/>
  <c r="K145" i="17" s="1"/>
  <c r="I144" i="17"/>
  <c r="N140" i="17"/>
  <c r="N138" i="17" s="1"/>
  <c r="M140" i="17"/>
  <c r="P140" i="17" s="1"/>
  <c r="L140" i="17"/>
  <c r="L138" i="17" s="1"/>
  <c r="O138" i="17" s="1"/>
  <c r="P139" i="17"/>
  <c r="O139" i="17"/>
  <c r="N137" i="17"/>
  <c r="N135" i="17" s="1"/>
  <c r="M137" i="17"/>
  <c r="P137" i="17" s="1"/>
  <c r="L137" i="17"/>
  <c r="L135" i="17" s="1"/>
  <c r="O135" i="17" s="1"/>
  <c r="P136" i="17"/>
  <c r="O136" i="17"/>
  <c r="N133" i="17"/>
  <c r="M133" i="17"/>
  <c r="L133" i="17"/>
  <c r="O133" i="17" s="1"/>
  <c r="J130" i="17"/>
  <c r="N127" i="17"/>
  <c r="N125" i="17" s="1"/>
  <c r="M127" i="17"/>
  <c r="P127" i="17" s="1"/>
  <c r="L127" i="17"/>
  <c r="O127" i="17" s="1"/>
  <c r="P126" i="17"/>
  <c r="O126" i="17"/>
  <c r="N124" i="17"/>
  <c r="N122" i="17" s="1"/>
  <c r="M124" i="17"/>
  <c r="P124" i="17" s="1"/>
  <c r="L124" i="17"/>
  <c r="P123" i="17"/>
  <c r="O123" i="17"/>
  <c r="P120" i="17"/>
  <c r="O120" i="17"/>
  <c r="N120" i="17"/>
  <c r="M120" i="17"/>
  <c r="L120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J87" i="17" s="1"/>
  <c r="I99" i="17"/>
  <c r="I87" i="17" s="1"/>
  <c r="K87" i="17" s="1"/>
  <c r="J98" i="17"/>
  <c r="I98" i="17"/>
  <c r="N96" i="17"/>
  <c r="N94" i="17" s="1"/>
  <c r="M96" i="17"/>
  <c r="M94" i="17" s="1"/>
  <c r="P94" i="17" s="1"/>
  <c r="L96" i="17"/>
  <c r="O96" i="17" s="1"/>
  <c r="P95" i="17"/>
  <c r="O95" i="17"/>
  <c r="N93" i="17"/>
  <c r="N91" i="17" s="1"/>
  <c r="M93" i="17"/>
  <c r="L93" i="17"/>
  <c r="P92" i="17"/>
  <c r="O92" i="17"/>
  <c r="N89" i="17"/>
  <c r="M89" i="17"/>
  <c r="P89" i="17" s="1"/>
  <c r="L89" i="17"/>
  <c r="J86" i="17"/>
  <c r="I84" i="17"/>
  <c r="K84" i="17" s="1"/>
  <c r="I83" i="17"/>
  <c r="K83" i="17" s="1"/>
  <c r="I82" i="17"/>
  <c r="I81" i="17"/>
  <c r="I80" i="17"/>
  <c r="K80" i="17" s="1"/>
  <c r="I79" i="17"/>
  <c r="K79" i="17" s="1"/>
  <c r="I78" i="17"/>
  <c r="K78" i="17" s="1"/>
  <c r="J77" i="17"/>
  <c r="J76" i="17"/>
  <c r="J64" i="17" s="1"/>
  <c r="N74" i="17"/>
  <c r="N72" i="17" s="1"/>
  <c r="M74" i="17"/>
  <c r="P74" i="17" s="1"/>
  <c r="L74" i="17"/>
  <c r="P73" i="17"/>
  <c r="O73" i="17"/>
  <c r="N71" i="17"/>
  <c r="N69" i="17" s="1"/>
  <c r="M71" i="17"/>
  <c r="P71" i="17" s="1"/>
  <c r="L71" i="17"/>
  <c r="P70" i="17"/>
  <c r="O70" i="17"/>
  <c r="N67" i="17"/>
  <c r="M67" i="17"/>
  <c r="L67" i="17"/>
  <c r="O67" i="17" s="1"/>
  <c r="J65" i="17"/>
  <c r="N61" i="17"/>
  <c r="M61" i="17"/>
  <c r="L61" i="17"/>
  <c r="L59" i="17" s="1"/>
  <c r="P60" i="17"/>
  <c r="O60" i="17"/>
  <c r="N58" i="17"/>
  <c r="N56" i="17" s="1"/>
  <c r="M58" i="17"/>
  <c r="L58" i="17"/>
  <c r="P57" i="17"/>
  <c r="O57" i="17"/>
  <c r="P54" i="17"/>
  <c r="O54" i="17"/>
  <c r="N54" i="17"/>
  <c r="M54" i="17"/>
  <c r="L54" i="17"/>
  <c r="N49" i="17"/>
  <c r="M49" i="17"/>
  <c r="P49" i="17" s="1"/>
  <c r="L49" i="17"/>
  <c r="P48" i="17"/>
  <c r="O48" i="17"/>
  <c r="N46" i="17"/>
  <c r="N44" i="17" s="1"/>
  <c r="M46" i="17"/>
  <c r="M44" i="17" s="1"/>
  <c r="L46" i="17"/>
  <c r="P45" i="17"/>
  <c r="O45" i="17"/>
  <c r="N42" i="17"/>
  <c r="M42" i="17"/>
  <c r="L42" i="17"/>
  <c r="O42" i="17" s="1"/>
  <c r="P36" i="17"/>
  <c r="N36" i="17"/>
  <c r="M36" i="17"/>
  <c r="O35" i="17"/>
  <c r="N35" i="17"/>
  <c r="M35" i="17"/>
  <c r="L35" i="17"/>
  <c r="N34" i="17"/>
  <c r="N33" i="17"/>
  <c r="M33" i="17"/>
  <c r="P32" i="17"/>
  <c r="N32" i="17"/>
  <c r="N31" i="17" s="1"/>
  <c r="M32" i="17"/>
  <c r="L32" i="17"/>
  <c r="N30" i="17"/>
  <c r="N29" i="17"/>
  <c r="N28" i="17" s="1"/>
  <c r="M29" i="17"/>
  <c r="P29" i="17" s="1"/>
  <c r="P25" i="17"/>
  <c r="N25" i="17"/>
  <c r="M25" i="17"/>
  <c r="L25" i="17"/>
  <c r="O22" i="17"/>
  <c r="N22" i="17"/>
  <c r="M22" i="17"/>
  <c r="L22" i="17"/>
  <c r="N15" i="17"/>
  <c r="M15" i="17"/>
  <c r="P15" i="17" s="1"/>
  <c r="L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N807" i="16" s="1"/>
  <c r="N805" i="16" s="1"/>
  <c r="P809" i="16"/>
  <c r="O809" i="16"/>
  <c r="O808" i="16"/>
  <c r="N808" i="16"/>
  <c r="M808" i="16"/>
  <c r="P808" i="16" s="1"/>
  <c r="L808" i="16"/>
  <c r="M807" i="16"/>
  <c r="P807" i="16" s="1"/>
  <c r="L807" i="16"/>
  <c r="O807" i="16" s="1"/>
  <c r="N806" i="16"/>
  <c r="M806" i="16"/>
  <c r="P806" i="16" s="1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P796" i="16"/>
  <c r="O796" i="16"/>
  <c r="N796" i="16"/>
  <c r="M796" i="16"/>
  <c r="L796" i="16"/>
  <c r="P791" i="16"/>
  <c r="N791" i="16"/>
  <c r="N788" i="16" s="1"/>
  <c r="N786" i="16" s="1"/>
  <c r="L791" i="16"/>
  <c r="L789" i="16" s="1"/>
  <c r="O789" i="16" s="1"/>
  <c r="P790" i="16"/>
  <c r="O790" i="16"/>
  <c r="N789" i="16"/>
  <c r="M789" i="16"/>
  <c r="P789" i="16" s="1"/>
  <c r="M788" i="16"/>
  <c r="P788" i="16" s="1"/>
  <c r="L788" i="16"/>
  <c r="O788" i="16" s="1"/>
  <c r="N787" i="16"/>
  <c r="M787" i="16"/>
  <c r="P787" i="16" s="1"/>
  <c r="L787" i="16"/>
  <c r="P782" i="16"/>
  <c r="O782" i="16"/>
  <c r="P781" i="16"/>
  <c r="O781" i="16"/>
  <c r="P780" i="16"/>
  <c r="N780" i="16"/>
  <c r="M780" i="16"/>
  <c r="L780" i="16"/>
  <c r="O780" i="16" s="1"/>
  <c r="P775" i="16"/>
  <c r="O775" i="16"/>
  <c r="N775" i="16"/>
  <c r="P774" i="16"/>
  <c r="O774" i="16"/>
  <c r="O773" i="16"/>
  <c r="N773" i="16"/>
  <c r="M773" i="16"/>
  <c r="P773" i="16" s="1"/>
  <c r="L773" i="16"/>
  <c r="N772" i="16"/>
  <c r="M772" i="16"/>
  <c r="P772" i="16" s="1"/>
  <c r="L772" i="16"/>
  <c r="O772" i="16" s="1"/>
  <c r="N771" i="16"/>
  <c r="M771" i="16"/>
  <c r="L771" i="16"/>
  <c r="O771" i="16" s="1"/>
  <c r="L770" i="16"/>
  <c r="O770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O757" i="16"/>
  <c r="N757" i="16"/>
  <c r="M757" i="16"/>
  <c r="P757" i="16" s="1"/>
  <c r="L757" i="16"/>
  <c r="N756" i="16"/>
  <c r="M756" i="16"/>
  <c r="P756" i="16" s="1"/>
  <c r="L756" i="16"/>
  <c r="O756" i="16" s="1"/>
  <c r="N755" i="16"/>
  <c r="N754" i="16" s="1"/>
  <c r="M755" i="16"/>
  <c r="L755" i="16"/>
  <c r="O755" i="16" s="1"/>
  <c r="L754" i="16"/>
  <c r="O754" i="16" s="1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N740" i="16" s="1"/>
  <c r="P741" i="16"/>
  <c r="O741" i="16"/>
  <c r="O740" i="16"/>
  <c r="M740" i="16"/>
  <c r="P740" i="16" s="1"/>
  <c r="L740" i="16"/>
  <c r="N739" i="16"/>
  <c r="M739" i="16"/>
  <c r="P739" i="16" s="1"/>
  <c r="L739" i="16"/>
  <c r="O739" i="16" s="1"/>
  <c r="N738" i="16"/>
  <c r="M738" i="16"/>
  <c r="L738" i="16"/>
  <c r="O738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K700" i="16" s="1"/>
  <c r="J699" i="16"/>
  <c r="I699" i="16"/>
  <c r="K699" i="16" s="1"/>
  <c r="P697" i="16"/>
  <c r="O697" i="16"/>
  <c r="P696" i="16"/>
  <c r="O696" i="16"/>
  <c r="P695" i="16"/>
  <c r="O695" i="16"/>
  <c r="N695" i="16"/>
  <c r="M695" i="16"/>
  <c r="L695" i="16"/>
  <c r="P690" i="16"/>
  <c r="N690" i="16"/>
  <c r="N687" i="16" s="1"/>
  <c r="N685" i="16" s="1"/>
  <c r="L690" i="16"/>
  <c r="O690" i="16" s="1"/>
  <c r="N688" i="16"/>
  <c r="M688" i="16"/>
  <c r="P688" i="16" s="1"/>
  <c r="M687" i="16"/>
  <c r="P686" i="16"/>
  <c r="N686" i="16"/>
  <c r="M686" i="16"/>
  <c r="L686" i="16"/>
  <c r="J679" i="16"/>
  <c r="J678" i="16" s="1"/>
  <c r="I678" i="16"/>
  <c r="K678" i="16" s="1"/>
  <c r="J675" i="16"/>
  <c r="I671" i="16"/>
  <c r="K671" i="16" s="1"/>
  <c r="I670" i="16"/>
  <c r="K670" i="16" s="1"/>
  <c r="J669" i="16"/>
  <c r="I669" i="16"/>
  <c r="K673" i="16" s="1"/>
  <c r="P667" i="16"/>
  <c r="O667" i="16"/>
  <c r="P666" i="16"/>
  <c r="O666" i="16"/>
  <c r="P665" i="16"/>
  <c r="N665" i="16"/>
  <c r="M665" i="16"/>
  <c r="L665" i="16"/>
  <c r="O665" i="16" s="1"/>
  <c r="P660" i="16"/>
  <c r="N660" i="16"/>
  <c r="L660" i="16"/>
  <c r="L657" i="16" s="1"/>
  <c r="P659" i="16"/>
  <c r="O659" i="16"/>
  <c r="N658" i="16"/>
  <c r="M658" i="16"/>
  <c r="P658" i="16" s="1"/>
  <c r="P657" i="16"/>
  <c r="M657" i="16"/>
  <c r="O656" i="16"/>
  <c r="N656" i="16"/>
  <c r="M656" i="16"/>
  <c r="M655" i="16" s="1"/>
  <c r="P655" i="16" s="1"/>
  <c r="L656" i="16"/>
  <c r="J654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P634" i="16"/>
  <c r="N634" i="16"/>
  <c r="L634" i="16"/>
  <c r="P633" i="16"/>
  <c r="O633" i="16"/>
  <c r="N632" i="16"/>
  <c r="M632" i="16"/>
  <c r="P632" i="16" s="1"/>
  <c r="N631" i="16"/>
  <c r="M631" i="16"/>
  <c r="P631" i="16" s="1"/>
  <c r="N630" i="16"/>
  <c r="N629" i="16" s="1"/>
  <c r="M630" i="16"/>
  <c r="P630" i="16" s="1"/>
  <c r="L630" i="16"/>
  <c r="O630" i="16" s="1"/>
  <c r="P629" i="16"/>
  <c r="M629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6" i="16"/>
  <c r="J594" i="16" s="1"/>
  <c r="J595" i="16"/>
  <c r="I594" i="16"/>
  <c r="K594" i="16" s="1"/>
  <c r="I593" i="16"/>
  <c r="I592" i="16" s="1"/>
  <c r="J583" i="16"/>
  <c r="J582" i="16"/>
  <c r="J577" i="16"/>
  <c r="I577" i="16"/>
  <c r="J576" i="16"/>
  <c r="I576" i="16"/>
  <c r="K576" i="16" s="1"/>
  <c r="J569" i="16"/>
  <c r="I569" i="16"/>
  <c r="J568" i="16"/>
  <c r="I568" i="16"/>
  <c r="K568" i="16" s="1"/>
  <c r="J561" i="16"/>
  <c r="I561" i="16"/>
  <c r="J560" i="16"/>
  <c r="I560" i="16"/>
  <c r="K560" i="16" s="1"/>
  <c r="J559" i="16"/>
  <c r="P557" i="16"/>
  <c r="L557" i="16"/>
  <c r="P556" i="16"/>
  <c r="O556" i="16"/>
  <c r="N555" i="16"/>
  <c r="M555" i="16"/>
  <c r="P555" i="16" s="1"/>
  <c r="P549" i="16"/>
  <c r="N549" i="16"/>
  <c r="N546" i="16" s="1"/>
  <c r="L549" i="16"/>
  <c r="O549" i="16" s="1"/>
  <c r="P548" i="16"/>
  <c r="O548" i="16"/>
  <c r="P547" i="16"/>
  <c r="N547" i="16"/>
  <c r="M547" i="16"/>
  <c r="M546" i="16"/>
  <c r="P546" i="16" s="1"/>
  <c r="P545" i="16"/>
  <c r="N545" i="16"/>
  <c r="N544" i="16" s="1"/>
  <c r="M545" i="16"/>
  <c r="L545" i="16"/>
  <c r="M544" i="16"/>
  <c r="P544" i="16" s="1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I522" i="16" s="1"/>
  <c r="K522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N523" i="16" s="1"/>
  <c r="L528" i="16"/>
  <c r="P527" i="16"/>
  <c r="O527" i="16"/>
  <c r="P526" i="16"/>
  <c r="N526" i="16"/>
  <c r="M526" i="16"/>
  <c r="L526" i="16"/>
  <c r="O526" i="16" s="1"/>
  <c r="M525" i="16"/>
  <c r="P524" i="16"/>
  <c r="N524" i="16"/>
  <c r="M524" i="16"/>
  <c r="L524" i="16"/>
  <c r="K517" i="16"/>
  <c r="J517" i="16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N505" i="16" s="1"/>
  <c r="P506" i="16"/>
  <c r="O506" i="16"/>
  <c r="M505" i="16"/>
  <c r="P505" i="16" s="1"/>
  <c r="L505" i="16"/>
  <c r="O505" i="16" s="1"/>
  <c r="N504" i="16"/>
  <c r="N502" i="16" s="1"/>
  <c r="M504" i="16"/>
  <c r="P504" i="16" s="1"/>
  <c r="L504" i="16"/>
  <c r="O504" i="16" s="1"/>
  <c r="P503" i="16"/>
  <c r="N503" i="16"/>
  <c r="M503" i="16"/>
  <c r="M502" i="16" s="1"/>
  <c r="P502" i="16" s="1"/>
  <c r="L503" i="16"/>
  <c r="O503" i="16" s="1"/>
  <c r="O502" i="16"/>
  <c r="L502" i="16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N477" i="16"/>
  <c r="M477" i="16"/>
  <c r="P477" i="16" s="1"/>
  <c r="P472" i="16"/>
  <c r="N472" i="16"/>
  <c r="L472" i="16"/>
  <c r="L470" i="16" s="1"/>
  <c r="O470" i="16" s="1"/>
  <c r="P471" i="16"/>
  <c r="O471" i="16"/>
  <c r="N470" i="16"/>
  <c r="M470" i="16"/>
  <c r="P470" i="16" s="1"/>
  <c r="N469" i="16"/>
  <c r="N467" i="16" s="1"/>
  <c r="M469" i="16"/>
  <c r="P469" i="16" s="1"/>
  <c r="P468" i="16"/>
  <c r="N468" i="16"/>
  <c r="M468" i="16"/>
  <c r="M467" i="16" s="1"/>
  <c r="P467" i="16" s="1"/>
  <c r="L468" i="16"/>
  <c r="O468" i="16" s="1"/>
  <c r="J466" i="16"/>
  <c r="I466" i="16"/>
  <c r="K466" i="16" s="1"/>
  <c r="J465" i="16"/>
  <c r="I465" i="16"/>
  <c r="K465" i="16" s="1"/>
  <c r="I464" i="16"/>
  <c r="I463" i="16"/>
  <c r="I462" i="16"/>
  <c r="I443" i="16" s="1"/>
  <c r="K443" i="16" s="1"/>
  <c r="I460" i="16"/>
  <c r="K460" i="16" s="1"/>
  <c r="K458" i="16"/>
  <c r="P456" i="16"/>
  <c r="L456" i="16"/>
  <c r="O456" i="16" s="1"/>
  <c r="P455" i="16"/>
  <c r="O455" i="16"/>
  <c r="P454" i="16"/>
  <c r="N454" i="16"/>
  <c r="M454" i="16"/>
  <c r="P449" i="16"/>
  <c r="N449" i="16"/>
  <c r="L449" i="16"/>
  <c r="P448" i="16"/>
  <c r="O448" i="16"/>
  <c r="N447" i="16"/>
  <c r="M447" i="16"/>
  <c r="P447" i="16" s="1"/>
  <c r="N446" i="16"/>
  <c r="M446" i="16"/>
  <c r="P446" i="16" s="1"/>
  <c r="N445" i="16"/>
  <c r="N444" i="16" s="1"/>
  <c r="M445" i="16"/>
  <c r="P445" i="16" s="1"/>
  <c r="L445" i="16"/>
  <c r="O445" i="16" s="1"/>
  <c r="P444" i="16"/>
  <c r="M444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K435" i="16" s="1"/>
  <c r="J434" i="16"/>
  <c r="J418" i="16" s="1"/>
  <c r="P431" i="16"/>
  <c r="L431" i="16"/>
  <c r="L429" i="16" s="1"/>
  <c r="O429" i="16" s="1"/>
  <c r="P430" i="16"/>
  <c r="O430" i="16"/>
  <c r="N429" i="16"/>
  <c r="M429" i="16"/>
  <c r="P429" i="16" s="1"/>
  <c r="P424" i="16"/>
  <c r="N424" i="16"/>
  <c r="L424" i="16"/>
  <c r="P423" i="16"/>
  <c r="O423" i="16"/>
  <c r="N422" i="16"/>
  <c r="M422" i="16"/>
  <c r="P422" i="16" s="1"/>
  <c r="N421" i="16"/>
  <c r="M421" i="16"/>
  <c r="P421" i="16" s="1"/>
  <c r="P420" i="16"/>
  <c r="N420" i="16"/>
  <c r="N419" i="16" s="1"/>
  <c r="M420" i="16"/>
  <c r="L420" i="16"/>
  <c r="O420" i="16" s="1"/>
  <c r="P419" i="16"/>
  <c r="M419" i="16"/>
  <c r="K413" i="16"/>
  <c r="K412" i="16"/>
  <c r="N410" i="16"/>
  <c r="N408" i="16" s="1"/>
  <c r="M410" i="16"/>
  <c r="M408" i="16" s="1"/>
  <c r="P408" i="16" s="1"/>
  <c r="L410" i="16"/>
  <c r="O410" i="16" s="1"/>
  <c r="P409" i="16"/>
  <c r="O409" i="16"/>
  <c r="N407" i="16"/>
  <c r="N405" i="16" s="1"/>
  <c r="M407" i="16"/>
  <c r="M405" i="16" s="1"/>
  <c r="P405" i="16" s="1"/>
  <c r="L407" i="16"/>
  <c r="O407" i="16" s="1"/>
  <c r="P406" i="16"/>
  <c r="O406" i="16"/>
  <c r="O403" i="16"/>
  <c r="N403" i="16"/>
  <c r="M403" i="16"/>
  <c r="P403" i="16" s="1"/>
  <c r="L403" i="16"/>
  <c r="K401" i="16"/>
  <c r="J401" i="16"/>
  <c r="I401" i="16"/>
  <c r="K400" i="16"/>
  <c r="K399" i="16"/>
  <c r="N397" i="16"/>
  <c r="M397" i="16"/>
  <c r="P397" i="16" s="1"/>
  <c r="L397" i="16"/>
  <c r="P396" i="16"/>
  <c r="O396" i="16"/>
  <c r="N394" i="16"/>
  <c r="N392" i="16" s="1"/>
  <c r="M394" i="16"/>
  <c r="P394" i="16" s="1"/>
  <c r="L394" i="16"/>
  <c r="P393" i="16"/>
  <c r="O393" i="16"/>
  <c r="N390" i="16"/>
  <c r="M390" i="16"/>
  <c r="P390" i="16" s="1"/>
  <c r="L390" i="16"/>
  <c r="O390" i="16" s="1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P352" i="16"/>
  <c r="O352" i="16"/>
  <c r="N350" i="16"/>
  <c r="N348" i="16" s="1"/>
  <c r="M350" i="16"/>
  <c r="L350" i="16"/>
  <c r="P349" i="16"/>
  <c r="O349" i="16"/>
  <c r="N346" i="16"/>
  <c r="M346" i="16"/>
  <c r="P346" i="16" s="1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P335" i="16"/>
  <c r="O335" i="16"/>
  <c r="N333" i="16"/>
  <c r="N331" i="16" s="1"/>
  <c r="M333" i="16"/>
  <c r="L333" i="16"/>
  <c r="P332" i="16"/>
  <c r="O332" i="16"/>
  <c r="N329" i="16"/>
  <c r="M329" i="16"/>
  <c r="P329" i="16" s="1"/>
  <c r="L329" i="16"/>
  <c r="O329" i="16" s="1"/>
  <c r="I327" i="16"/>
  <c r="I325" i="16"/>
  <c r="K325" i="16" s="1"/>
  <c r="N323" i="16"/>
  <c r="N321" i="16" s="1"/>
  <c r="M323" i="16"/>
  <c r="M321" i="16" s="1"/>
  <c r="P321" i="16" s="1"/>
  <c r="L323" i="16"/>
  <c r="O323" i="16" s="1"/>
  <c r="P322" i="16"/>
  <c r="O322" i="16"/>
  <c r="N320" i="16"/>
  <c r="N318" i="16" s="1"/>
  <c r="M320" i="16"/>
  <c r="M318" i="16" s="1"/>
  <c r="P318" i="16" s="1"/>
  <c r="L320" i="16"/>
  <c r="L318" i="16" s="1"/>
  <c r="O318" i="16" s="1"/>
  <c r="P319" i="16"/>
  <c r="O319" i="16"/>
  <c r="N316" i="16"/>
  <c r="M316" i="16"/>
  <c r="L316" i="16"/>
  <c r="O316" i="16" s="1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O306" i="16" s="1"/>
  <c r="P305" i="16"/>
  <c r="O305" i="16"/>
  <c r="N303" i="16"/>
  <c r="N301" i="16" s="1"/>
  <c r="M303" i="16"/>
  <c r="L303" i="16"/>
  <c r="P302" i="16"/>
  <c r="O302" i="16"/>
  <c r="O299" i="16"/>
  <c r="N299" i="16"/>
  <c r="M299" i="16"/>
  <c r="P299" i="16" s="1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P285" i="16" s="1"/>
  <c r="L285" i="16"/>
  <c r="O285" i="16" s="1"/>
  <c r="P284" i="16"/>
  <c r="O284" i="16"/>
  <c r="N282" i="16"/>
  <c r="M282" i="16"/>
  <c r="M280" i="16" s="1"/>
  <c r="L282" i="16"/>
  <c r="L280" i="16" s="1"/>
  <c r="P281" i="16"/>
  <c r="O281" i="16"/>
  <c r="P278" i="16"/>
  <c r="O278" i="16"/>
  <c r="N278" i="16"/>
  <c r="M278" i="16"/>
  <c r="L278" i="16"/>
  <c r="J276" i="16"/>
  <c r="I271" i="16"/>
  <c r="K271" i="16" s="1"/>
  <c r="N269" i="16"/>
  <c r="M269" i="16"/>
  <c r="L269" i="16"/>
  <c r="L267" i="16" s="1"/>
  <c r="O267" i="16" s="1"/>
  <c r="P268" i="16"/>
  <c r="O268" i="16"/>
  <c r="N266" i="16"/>
  <c r="N264" i="16" s="1"/>
  <c r="M266" i="16"/>
  <c r="L266" i="16"/>
  <c r="L264" i="16" s="1"/>
  <c r="P265" i="16"/>
  <c r="O265" i="16"/>
  <c r="O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26" i="16" s="1"/>
  <c r="J180" i="16" s="1"/>
  <c r="K236" i="16"/>
  <c r="J236" i="16"/>
  <c r="I236" i="16"/>
  <c r="K235" i="16"/>
  <c r="J235" i="16"/>
  <c r="I235" i="16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K204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N184" i="16" s="1"/>
  <c r="M186" i="16"/>
  <c r="L186" i="16"/>
  <c r="L184" i="16" s="1"/>
  <c r="P185" i="16"/>
  <c r="O185" i="16"/>
  <c r="P182" i="16"/>
  <c r="N182" i="16"/>
  <c r="M182" i="16"/>
  <c r="L182" i="16"/>
  <c r="O182" i="16" s="1"/>
  <c r="J177" i="16"/>
  <c r="J164" i="16" s="1"/>
  <c r="I176" i="16"/>
  <c r="K176" i="16" s="1"/>
  <c r="J174" i="16"/>
  <c r="N173" i="16"/>
  <c r="N171" i="16" s="1"/>
  <c r="M173" i="16"/>
  <c r="P173" i="16" s="1"/>
  <c r="L173" i="16"/>
  <c r="P172" i="16"/>
  <c r="O172" i="16"/>
  <c r="N170" i="16"/>
  <c r="M170" i="16"/>
  <c r="L170" i="16"/>
  <c r="L168" i="16" s="1"/>
  <c r="P169" i="16"/>
  <c r="O169" i="16"/>
  <c r="P166" i="16"/>
  <c r="N166" i="16"/>
  <c r="M166" i="16"/>
  <c r="L166" i="16"/>
  <c r="O166" i="16" s="1"/>
  <c r="I159" i="16"/>
  <c r="I148" i="16" s="1"/>
  <c r="K148" i="16" s="1"/>
  <c r="N157" i="16"/>
  <c r="N155" i="16" s="1"/>
  <c r="M157" i="16"/>
  <c r="L157" i="16"/>
  <c r="L155" i="16" s="1"/>
  <c r="O155" i="16" s="1"/>
  <c r="P156" i="16"/>
  <c r="O156" i="16"/>
  <c r="N154" i="16"/>
  <c r="M154" i="16"/>
  <c r="L154" i="16"/>
  <c r="L152" i="16" s="1"/>
  <c r="P153" i="16"/>
  <c r="O153" i="16"/>
  <c r="P150" i="16"/>
  <c r="N150" i="16"/>
  <c r="M150" i="16"/>
  <c r="L150" i="16"/>
  <c r="J148" i="16"/>
  <c r="I146" i="16"/>
  <c r="I145" i="16"/>
  <c r="I144" i="16"/>
  <c r="K144" i="16" s="1"/>
  <c r="N140" i="16"/>
  <c r="N138" i="16" s="1"/>
  <c r="M140" i="16"/>
  <c r="P140" i="16" s="1"/>
  <c r="L140" i="16"/>
  <c r="P139" i="16"/>
  <c r="O139" i="16"/>
  <c r="N137" i="16"/>
  <c r="N135" i="16" s="1"/>
  <c r="M137" i="16"/>
  <c r="L137" i="16"/>
  <c r="P136" i="16"/>
  <c r="O136" i="16"/>
  <c r="O133" i="16"/>
  <c r="N133" i="16"/>
  <c r="M133" i="16"/>
  <c r="P133" i="16" s="1"/>
  <c r="L133" i="16"/>
  <c r="J130" i="16"/>
  <c r="N127" i="16"/>
  <c r="N125" i="16" s="1"/>
  <c r="M127" i="16"/>
  <c r="M125" i="16" s="1"/>
  <c r="L127" i="16"/>
  <c r="L125" i="16" s="1"/>
  <c r="P126" i="16"/>
  <c r="O126" i="16"/>
  <c r="N124" i="16"/>
  <c r="N122" i="16" s="1"/>
  <c r="M124" i="16"/>
  <c r="P124" i="16" s="1"/>
  <c r="L124" i="16"/>
  <c r="L122" i="16" s="1"/>
  <c r="O122" i="16" s="1"/>
  <c r="P123" i="16"/>
  <c r="O123" i="16"/>
  <c r="P120" i="16"/>
  <c r="O120" i="16"/>
  <c r="N120" i="16"/>
  <c r="M120" i="16"/>
  <c r="L120" i="16"/>
  <c r="K118" i="16"/>
  <c r="J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I87" i="16" s="1"/>
  <c r="K87" i="16" s="1"/>
  <c r="J98" i="16"/>
  <c r="I98" i="16"/>
  <c r="I86" i="16" s="1"/>
  <c r="K86" i="16" s="1"/>
  <c r="N96" i="16"/>
  <c r="N94" i="16" s="1"/>
  <c r="M96" i="16"/>
  <c r="P96" i="16" s="1"/>
  <c r="L96" i="16"/>
  <c r="O96" i="16" s="1"/>
  <c r="P95" i="16"/>
  <c r="O95" i="16"/>
  <c r="N93" i="16"/>
  <c r="N91" i="16" s="1"/>
  <c r="M93" i="16"/>
  <c r="L93" i="16"/>
  <c r="L91" i="16" s="1"/>
  <c r="P92" i="16"/>
  <c r="O92" i="16"/>
  <c r="P89" i="16"/>
  <c r="N89" i="16"/>
  <c r="M89" i="16"/>
  <c r="L89" i="16"/>
  <c r="O89" i="16" s="1"/>
  <c r="J87" i="16"/>
  <c r="J86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K79" i="16" s="1"/>
  <c r="I78" i="16"/>
  <c r="K78" i="16" s="1"/>
  <c r="J77" i="16"/>
  <c r="J76" i="16"/>
  <c r="N74" i="16"/>
  <c r="N72" i="16" s="1"/>
  <c r="M74" i="16"/>
  <c r="P74" i="16" s="1"/>
  <c r="L74" i="16"/>
  <c r="O74" i="16" s="1"/>
  <c r="P73" i="16"/>
  <c r="O73" i="16"/>
  <c r="N71" i="16"/>
  <c r="N69" i="16" s="1"/>
  <c r="M71" i="16"/>
  <c r="M69" i="16" s="1"/>
  <c r="L71" i="16"/>
  <c r="P70" i="16"/>
  <c r="O70" i="16"/>
  <c r="P67" i="16"/>
  <c r="O67" i="16"/>
  <c r="N67" i="16"/>
  <c r="M67" i="16"/>
  <c r="L67" i="16"/>
  <c r="J65" i="16"/>
  <c r="J64" i="16"/>
  <c r="N61" i="16"/>
  <c r="N59" i="16" s="1"/>
  <c r="M61" i="16"/>
  <c r="P61" i="16" s="1"/>
  <c r="L61" i="16"/>
  <c r="L59" i="16" s="1"/>
  <c r="O59" i="16" s="1"/>
  <c r="P60" i="16"/>
  <c r="O60" i="16"/>
  <c r="N58" i="16"/>
  <c r="M58" i="16"/>
  <c r="L58" i="16"/>
  <c r="P57" i="16"/>
  <c r="O57" i="16"/>
  <c r="P54" i="16"/>
  <c r="N54" i="16"/>
  <c r="M54" i="16"/>
  <c r="L54" i="16"/>
  <c r="O54" i="16" s="1"/>
  <c r="N49" i="16"/>
  <c r="N47" i="16" s="1"/>
  <c r="M49" i="16"/>
  <c r="P49" i="16" s="1"/>
  <c r="L49" i="16"/>
  <c r="P48" i="16"/>
  <c r="O48" i="16"/>
  <c r="N46" i="16"/>
  <c r="N44" i="16" s="1"/>
  <c r="M46" i="16"/>
  <c r="L46" i="16"/>
  <c r="L44" i="16" s="1"/>
  <c r="P45" i="16"/>
  <c r="O45" i="16"/>
  <c r="P42" i="16"/>
  <c r="O42" i="16"/>
  <c r="N42" i="16"/>
  <c r="M42" i="16"/>
  <c r="L42" i="16"/>
  <c r="P36" i="16"/>
  <c r="N36" i="16"/>
  <c r="M36" i="16"/>
  <c r="P35" i="16"/>
  <c r="O35" i="16"/>
  <c r="N35" i="16"/>
  <c r="M35" i="16"/>
  <c r="L35" i="16"/>
  <c r="N34" i="16"/>
  <c r="N33" i="16"/>
  <c r="M33" i="16"/>
  <c r="M31" i="16" s="1"/>
  <c r="P31" i="16" s="1"/>
  <c r="P32" i="16"/>
  <c r="O32" i="16"/>
  <c r="N32" i="16"/>
  <c r="N29" i="16" s="1"/>
  <c r="M32" i="16"/>
  <c r="L32" i="16"/>
  <c r="N31" i="16"/>
  <c r="N30" i="16"/>
  <c r="M30" i="16"/>
  <c r="P30" i="16" s="1"/>
  <c r="P29" i="16"/>
  <c r="M29" i="16"/>
  <c r="L29" i="16"/>
  <c r="O29" i="16" s="1"/>
  <c r="N28" i="16"/>
  <c r="P25" i="16"/>
  <c r="N25" i="16"/>
  <c r="N15" i="16" s="1"/>
  <c r="M25" i="16"/>
  <c r="L25" i="16"/>
  <c r="L15" i="16" s="1"/>
  <c r="N22" i="16"/>
  <c r="M22" i="16"/>
  <c r="M19" i="16" s="1"/>
  <c r="L22" i="16"/>
  <c r="L19" i="16" s="1"/>
  <c r="N19" i="16"/>
  <c r="M15" i="16"/>
  <c r="P15" i="16" s="1"/>
  <c r="N12" i="16"/>
  <c r="N9" i="16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N808" i="15"/>
  <c r="M808" i="15"/>
  <c r="P808" i="15" s="1"/>
  <c r="L808" i="15"/>
  <c r="O808" i="15" s="1"/>
  <c r="M807" i="15"/>
  <c r="L807" i="15"/>
  <c r="O807" i="15" s="1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L789" i="15" s="1"/>
  <c r="O789" i="15" s="1"/>
  <c r="P790" i="15"/>
  <c r="O790" i="15"/>
  <c r="N789" i="15"/>
  <c r="M789" i="15"/>
  <c r="P789" i="15" s="1"/>
  <c r="M788" i="15"/>
  <c r="L788" i="15"/>
  <c r="O788" i="15" s="1"/>
  <c r="P787" i="15"/>
  <c r="N787" i="15"/>
  <c r="M787" i="15"/>
  <c r="L787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P774" i="15"/>
  <c r="O774" i="15"/>
  <c r="O773" i="15"/>
  <c r="N773" i="15"/>
  <c r="M773" i="15"/>
  <c r="P773" i="15" s="1"/>
  <c r="L773" i="15"/>
  <c r="N772" i="15"/>
  <c r="N770" i="15" s="1"/>
  <c r="M772" i="15"/>
  <c r="P772" i="15" s="1"/>
  <c r="L772" i="15"/>
  <c r="O772" i="15" s="1"/>
  <c r="N771" i="15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P758" i="15"/>
  <c r="O758" i="15"/>
  <c r="O757" i="15"/>
  <c r="N757" i="15"/>
  <c r="M757" i="15"/>
  <c r="P757" i="15" s="1"/>
  <c r="L757" i="15"/>
  <c r="N756" i="15"/>
  <c r="N754" i="15" s="1"/>
  <c r="M756" i="15"/>
  <c r="P756" i="15" s="1"/>
  <c r="L756" i="15"/>
  <c r="O756" i="15" s="1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P741" i="15"/>
  <c r="O741" i="15"/>
  <c r="O740" i="15"/>
  <c r="N740" i="15"/>
  <c r="M740" i="15"/>
  <c r="P740" i="15" s="1"/>
  <c r="L740" i="15"/>
  <c r="N739" i="15"/>
  <c r="N737" i="15" s="1"/>
  <c r="M739" i="15"/>
  <c r="P739" i="15" s="1"/>
  <c r="L739" i="15"/>
  <c r="O739" i="15" s="1"/>
  <c r="N738" i="15"/>
  <c r="M738" i="15"/>
  <c r="L738" i="15"/>
  <c r="O738" i="15" s="1"/>
  <c r="L737" i="15"/>
  <c r="O737" i="15" s="1"/>
  <c r="K736" i="15"/>
  <c r="J736" i="15"/>
  <c r="J729" i="15"/>
  <c r="I729" i="15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J700" i="15"/>
  <c r="I700" i="15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N687" i="15" s="1"/>
  <c r="N685" i="15" s="1"/>
  <c r="L690" i="15"/>
  <c r="L688" i="15" s="1"/>
  <c r="N688" i="15"/>
  <c r="M688" i="15"/>
  <c r="P688" i="15" s="1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I669" i="15"/>
  <c r="K672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P659" i="15"/>
  <c r="O659" i="15"/>
  <c r="P658" i="15"/>
  <c r="N658" i="15"/>
  <c r="M658" i="15"/>
  <c r="P657" i="15"/>
  <c r="M657" i="15"/>
  <c r="O656" i="15"/>
  <c r="N656" i="15"/>
  <c r="M656" i="15"/>
  <c r="P656" i="15" s="1"/>
  <c r="L656" i="15"/>
  <c r="M655" i="15"/>
  <c r="P655" i="15" s="1"/>
  <c r="J654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N639" i="15"/>
  <c r="M639" i="15"/>
  <c r="P639" i="15" s="1"/>
  <c r="P634" i="15"/>
  <c r="N634" i="15"/>
  <c r="L634" i="15"/>
  <c r="P633" i="15"/>
  <c r="O633" i="15"/>
  <c r="N632" i="15"/>
  <c r="M632" i="15"/>
  <c r="P632" i="15" s="1"/>
  <c r="P631" i="15"/>
  <c r="N631" i="15"/>
  <c r="M631" i="15"/>
  <c r="P630" i="15"/>
  <c r="O630" i="15"/>
  <c r="N630" i="15"/>
  <c r="N629" i="15" s="1"/>
  <c r="M630" i="15"/>
  <c r="L630" i="15"/>
  <c r="P629" i="15"/>
  <c r="M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3" i="15" s="1"/>
  <c r="J596" i="15"/>
  <c r="J595" i="15"/>
  <c r="J594" i="15"/>
  <c r="I594" i="15"/>
  <c r="K594" i="15" s="1"/>
  <c r="I593" i="15"/>
  <c r="I592" i="15" s="1"/>
  <c r="J583" i="15"/>
  <c r="J582" i="15"/>
  <c r="J577" i="15"/>
  <c r="I577" i="15"/>
  <c r="K577" i="15" s="1"/>
  <c r="J576" i="15"/>
  <c r="I576" i="15"/>
  <c r="J569" i="15"/>
  <c r="I569" i="15"/>
  <c r="J568" i="15"/>
  <c r="I568" i="15"/>
  <c r="K568" i="15" s="1"/>
  <c r="J561" i="15"/>
  <c r="I561" i="15"/>
  <c r="K561" i="15" s="1"/>
  <c r="J560" i="15"/>
  <c r="I560" i="15"/>
  <c r="K560" i="15" s="1"/>
  <c r="J559" i="15"/>
  <c r="J543" i="15" s="1"/>
  <c r="P557" i="15"/>
  <c r="L557" i="15"/>
  <c r="L555" i="15" s="1"/>
  <c r="O555" i="15" s="1"/>
  <c r="P556" i="15"/>
  <c r="O556" i="15"/>
  <c r="P555" i="15"/>
  <c r="N555" i="15"/>
  <c r="M555" i="15"/>
  <c r="P549" i="15"/>
  <c r="N549" i="15"/>
  <c r="L549" i="15"/>
  <c r="L547" i="15" s="1"/>
  <c r="O547" i="15" s="1"/>
  <c r="P548" i="15"/>
  <c r="O548" i="15"/>
  <c r="P547" i="15"/>
  <c r="N547" i="15"/>
  <c r="M547" i="15"/>
  <c r="N546" i="15"/>
  <c r="M546" i="15"/>
  <c r="P546" i="15" s="1"/>
  <c r="N545" i="15"/>
  <c r="N544" i="15" s="1"/>
  <c r="M545" i="15"/>
  <c r="P545" i="15" s="1"/>
  <c r="L545" i="15"/>
  <c r="O545" i="15" s="1"/>
  <c r="M544" i="15"/>
  <c r="P544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K537" i="15" s="1"/>
  <c r="P535" i="15"/>
  <c r="L535" i="15"/>
  <c r="P534" i="15"/>
  <c r="O534" i="15"/>
  <c r="N533" i="15"/>
  <c r="M533" i="15"/>
  <c r="P533" i="15" s="1"/>
  <c r="P528" i="15"/>
  <c r="N528" i="15"/>
  <c r="N525" i="15" s="1"/>
  <c r="N523" i="15" s="1"/>
  <c r="L528" i="15"/>
  <c r="L526" i="15" s="1"/>
  <c r="O526" i="15" s="1"/>
  <c r="P527" i="15"/>
  <c r="O527" i="15"/>
  <c r="N526" i="15"/>
  <c r="M526" i="15"/>
  <c r="P526" i="15" s="1"/>
  <c r="M525" i="15"/>
  <c r="P524" i="15"/>
  <c r="N524" i="15"/>
  <c r="M524" i="15"/>
  <c r="L524" i="15"/>
  <c r="K517" i="15"/>
  <c r="J517" i="15"/>
  <c r="J501" i="15" s="1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P506" i="15"/>
  <c r="O506" i="15"/>
  <c r="P505" i="15"/>
  <c r="N505" i="15"/>
  <c r="M505" i="15"/>
  <c r="L505" i="15"/>
  <c r="O505" i="15" s="1"/>
  <c r="P504" i="15"/>
  <c r="O504" i="15"/>
  <c r="N504" i="15"/>
  <c r="M504" i="15"/>
  <c r="L504" i="15"/>
  <c r="O503" i="15"/>
  <c r="N503" i="15"/>
  <c r="N502" i="15" s="1"/>
  <c r="M503" i="15"/>
  <c r="P503" i="15" s="1"/>
  <c r="L503" i="15"/>
  <c r="O502" i="15"/>
  <c r="L502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P472" i="15"/>
  <c r="N472" i="15"/>
  <c r="L472" i="15"/>
  <c r="L470" i="15" s="1"/>
  <c r="O470" i="15" s="1"/>
  <c r="P471" i="15"/>
  <c r="O471" i="15"/>
  <c r="P470" i="15"/>
  <c r="N470" i="15"/>
  <c r="M470" i="15"/>
  <c r="P469" i="15"/>
  <c r="M469" i="15"/>
  <c r="O468" i="15"/>
  <c r="N468" i="15"/>
  <c r="M468" i="15"/>
  <c r="L468" i="15"/>
  <c r="J466" i="15"/>
  <c r="I466" i="15"/>
  <c r="K466" i="15" s="1"/>
  <c r="J465" i="15"/>
  <c r="I465" i="15"/>
  <c r="K465" i="15" s="1"/>
  <c r="I464" i="15"/>
  <c r="I463" i="15"/>
  <c r="I462" i="15"/>
  <c r="I443" i="15" s="1"/>
  <c r="I460" i="15"/>
  <c r="K458" i="15"/>
  <c r="P456" i="15"/>
  <c r="L456" i="15"/>
  <c r="L454" i="15" s="1"/>
  <c r="O454" i="15" s="1"/>
  <c r="P455" i="15"/>
  <c r="O455" i="15"/>
  <c r="P454" i="15"/>
  <c r="N454" i="15"/>
  <c r="M454" i="15"/>
  <c r="P449" i="15"/>
  <c r="N449" i="15"/>
  <c r="L449" i="15"/>
  <c r="P448" i="15"/>
  <c r="O448" i="15"/>
  <c r="P447" i="15"/>
  <c r="N447" i="15"/>
  <c r="M447" i="15"/>
  <c r="P446" i="15"/>
  <c r="N446" i="15"/>
  <c r="M446" i="15"/>
  <c r="O445" i="15"/>
  <c r="N445" i="15"/>
  <c r="M445" i="15"/>
  <c r="P445" i="15" s="1"/>
  <c r="L445" i="15"/>
  <c r="N444" i="15"/>
  <c r="M444" i="15"/>
  <c r="P444" i="15" s="1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K435" i="15" s="1"/>
  <c r="J434" i="15"/>
  <c r="J418" i="15" s="1"/>
  <c r="P431" i="15"/>
  <c r="L431" i="15"/>
  <c r="P430" i="15"/>
  <c r="O430" i="15"/>
  <c r="N429" i="15"/>
  <c r="M429" i="15"/>
  <c r="P429" i="15" s="1"/>
  <c r="P424" i="15"/>
  <c r="N424" i="15"/>
  <c r="L424" i="15"/>
  <c r="O424" i="15" s="1"/>
  <c r="P423" i="15"/>
  <c r="O423" i="15"/>
  <c r="P422" i="15"/>
  <c r="N422" i="15"/>
  <c r="M422" i="15"/>
  <c r="P421" i="15"/>
  <c r="N421" i="15"/>
  <c r="N419" i="15" s="1"/>
  <c r="M421" i="15"/>
  <c r="O420" i="15"/>
  <c r="N420" i="15"/>
  <c r="M420" i="15"/>
  <c r="L420" i="15"/>
  <c r="K413" i="15"/>
  <c r="K412" i="15"/>
  <c r="N410" i="15"/>
  <c r="N408" i="15" s="1"/>
  <c r="M410" i="15"/>
  <c r="M408" i="15" s="1"/>
  <c r="P408" i="15" s="1"/>
  <c r="L410" i="15"/>
  <c r="L408" i="15" s="1"/>
  <c r="O408" i="15" s="1"/>
  <c r="P409" i="15"/>
  <c r="O409" i="15"/>
  <c r="N407" i="15"/>
  <c r="N405" i="15" s="1"/>
  <c r="M407" i="15"/>
  <c r="L407" i="15"/>
  <c r="L405" i="15" s="1"/>
  <c r="O405" i="15" s="1"/>
  <c r="P406" i="15"/>
  <c r="O406" i="15"/>
  <c r="N403" i="15"/>
  <c r="M403" i="15"/>
  <c r="P403" i="15" s="1"/>
  <c r="L403" i="15"/>
  <c r="K401" i="15"/>
  <c r="J401" i="15"/>
  <c r="I401" i="15"/>
  <c r="K400" i="15"/>
  <c r="K399" i="15"/>
  <c r="N397" i="15"/>
  <c r="M397" i="15"/>
  <c r="L397" i="15"/>
  <c r="L395" i="15" s="1"/>
  <c r="O395" i="15" s="1"/>
  <c r="P396" i="15"/>
  <c r="O396" i="15"/>
  <c r="N394" i="15"/>
  <c r="N392" i="15" s="1"/>
  <c r="M394" i="15"/>
  <c r="M392" i="15" s="1"/>
  <c r="P392" i="15" s="1"/>
  <c r="L394" i="15"/>
  <c r="O394" i="15" s="1"/>
  <c r="P393" i="15"/>
  <c r="O393" i="15"/>
  <c r="O390" i="15"/>
  <c r="N390" i="15"/>
  <c r="M390" i="15"/>
  <c r="P390" i="15" s="1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P352" i="15"/>
  <c r="O352" i="15"/>
  <c r="N350" i="15"/>
  <c r="M350" i="15"/>
  <c r="M348" i="15" s="1"/>
  <c r="L350" i="15"/>
  <c r="L348" i="15" s="1"/>
  <c r="P349" i="15"/>
  <c r="O349" i="15"/>
  <c r="N346" i="15"/>
  <c r="M346" i="15"/>
  <c r="P346" i="15" s="1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P335" i="15"/>
  <c r="O335" i="15"/>
  <c r="N333" i="15"/>
  <c r="M333" i="15"/>
  <c r="M331" i="15" s="1"/>
  <c r="L333" i="15"/>
  <c r="L331" i="15" s="1"/>
  <c r="P332" i="15"/>
  <c r="O332" i="15"/>
  <c r="P329" i="15"/>
  <c r="O329" i="15"/>
  <c r="N329" i="15"/>
  <c r="M329" i="15"/>
  <c r="L329" i="15"/>
  <c r="I327" i="15"/>
  <c r="I325" i="15"/>
  <c r="K325" i="15" s="1"/>
  <c r="N323" i="15"/>
  <c r="N321" i="15" s="1"/>
  <c r="M323" i="15"/>
  <c r="L323" i="15"/>
  <c r="P322" i="15"/>
  <c r="O322" i="15"/>
  <c r="N320" i="15"/>
  <c r="M320" i="15"/>
  <c r="P320" i="15" s="1"/>
  <c r="L320" i="15"/>
  <c r="O320" i="15" s="1"/>
  <c r="P319" i="15"/>
  <c r="O319" i="15"/>
  <c r="N316" i="15"/>
  <c r="M316" i="15"/>
  <c r="P316" i="15" s="1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P305" i="15"/>
  <c r="O305" i="15"/>
  <c r="N303" i="15"/>
  <c r="N301" i="15" s="1"/>
  <c r="M303" i="15"/>
  <c r="P303" i="15" s="1"/>
  <c r="L303" i="15"/>
  <c r="O303" i="15" s="1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L285" i="15"/>
  <c r="L283" i="15" s="1"/>
  <c r="O283" i="15" s="1"/>
  <c r="P284" i="15"/>
  <c r="O284" i="15"/>
  <c r="N282" i="15"/>
  <c r="M282" i="15"/>
  <c r="P282" i="15" s="1"/>
  <c r="L282" i="15"/>
  <c r="P281" i="15"/>
  <c r="O281" i="15"/>
  <c r="P278" i="15"/>
  <c r="O278" i="15"/>
  <c r="N278" i="15"/>
  <c r="M278" i="15"/>
  <c r="L278" i="15"/>
  <c r="J276" i="15"/>
  <c r="I271" i="15"/>
  <c r="K271" i="15" s="1"/>
  <c r="N269" i="15"/>
  <c r="M269" i="15"/>
  <c r="M267" i="15" s="1"/>
  <c r="P267" i="15" s="1"/>
  <c r="L269" i="15"/>
  <c r="O269" i="15" s="1"/>
  <c r="P268" i="15"/>
  <c r="O268" i="15"/>
  <c r="N266" i="15"/>
  <c r="M266" i="15"/>
  <c r="M264" i="15" s="1"/>
  <c r="L266" i="15"/>
  <c r="L264" i="15" s="1"/>
  <c r="P265" i="15"/>
  <c r="O265" i="15"/>
  <c r="P262" i="15"/>
  <c r="O262" i="15"/>
  <c r="N262" i="15"/>
  <c r="M262" i="15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K236" i="15"/>
  <c r="J236" i="15"/>
  <c r="I236" i="15"/>
  <c r="J235" i="15"/>
  <c r="I235" i="15"/>
  <c r="K235" i="15" s="1"/>
  <c r="J233" i="15"/>
  <c r="N231" i="15"/>
  <c r="N230" i="15"/>
  <c r="N229" i="15"/>
  <c r="N228" i="15"/>
  <c r="N227" i="15"/>
  <c r="J226" i="15"/>
  <c r="J180" i="15" s="1"/>
  <c r="I225" i="15"/>
  <c r="I224" i="15"/>
  <c r="I223" i="15"/>
  <c r="K223" i="15" s="1"/>
  <c r="L220" i="15"/>
  <c r="L219" i="15"/>
  <c r="L218" i="15"/>
  <c r="P217" i="15"/>
  <c r="N217" i="15"/>
  <c r="J216" i="15"/>
  <c r="I215" i="15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I190" i="15" s="1"/>
  <c r="P191" i="15"/>
  <c r="L191" i="15"/>
  <c r="O191" i="15" s="1"/>
  <c r="J190" i="15"/>
  <c r="N189" i="15"/>
  <c r="N187" i="15" s="1"/>
  <c r="M189" i="15"/>
  <c r="P189" i="15" s="1"/>
  <c r="L189" i="15"/>
  <c r="P188" i="15"/>
  <c r="O188" i="15"/>
  <c r="N186" i="15"/>
  <c r="N184" i="15" s="1"/>
  <c r="M186" i="15"/>
  <c r="M184" i="15" s="1"/>
  <c r="L186" i="15"/>
  <c r="P185" i="15"/>
  <c r="O185" i="15"/>
  <c r="N182" i="15"/>
  <c r="M182" i="15"/>
  <c r="P182" i="15" s="1"/>
  <c r="L182" i="15"/>
  <c r="O182" i="15" s="1"/>
  <c r="J177" i="15"/>
  <c r="I176" i="15"/>
  <c r="J174" i="15"/>
  <c r="J164" i="15" s="1"/>
  <c r="N173" i="15"/>
  <c r="N171" i="15" s="1"/>
  <c r="M173" i="15"/>
  <c r="L173" i="15"/>
  <c r="P172" i="15"/>
  <c r="O172" i="15"/>
  <c r="N170" i="15"/>
  <c r="N168" i="15" s="1"/>
  <c r="M170" i="15"/>
  <c r="M168" i="15" s="1"/>
  <c r="L170" i="15"/>
  <c r="L168" i="15" s="1"/>
  <c r="P169" i="15"/>
  <c r="O169" i="15"/>
  <c r="N166" i="15"/>
  <c r="M166" i="15"/>
  <c r="P166" i="15" s="1"/>
  <c r="L166" i="15"/>
  <c r="O166" i="15" s="1"/>
  <c r="I159" i="15"/>
  <c r="N157" i="15"/>
  <c r="N155" i="15" s="1"/>
  <c r="M157" i="15"/>
  <c r="P157" i="15" s="1"/>
  <c r="L157" i="15"/>
  <c r="P156" i="15"/>
  <c r="O156" i="15"/>
  <c r="N154" i="15"/>
  <c r="M154" i="15"/>
  <c r="M152" i="15" s="1"/>
  <c r="L154" i="15"/>
  <c r="P153" i="15"/>
  <c r="O153" i="15"/>
  <c r="O150" i="15"/>
  <c r="N150" i="15"/>
  <c r="M150" i="15"/>
  <c r="L150" i="15"/>
  <c r="J148" i="15"/>
  <c r="I146" i="15"/>
  <c r="K146" i="15" s="1"/>
  <c r="I145" i="15"/>
  <c r="I143" i="15" s="1"/>
  <c r="I131" i="15" s="1"/>
  <c r="K131" i="15" s="1"/>
  <c r="I144" i="15"/>
  <c r="N140" i="15"/>
  <c r="N138" i="15" s="1"/>
  <c r="M140" i="15"/>
  <c r="L140" i="15"/>
  <c r="P139" i="15"/>
  <c r="O139" i="15"/>
  <c r="N137" i="15"/>
  <c r="M137" i="15"/>
  <c r="L137" i="15"/>
  <c r="L135" i="15" s="1"/>
  <c r="O135" i="15" s="1"/>
  <c r="P136" i="15"/>
  <c r="O136" i="15"/>
  <c r="P133" i="15"/>
  <c r="N133" i="15"/>
  <c r="M133" i="15"/>
  <c r="L133" i="15"/>
  <c r="O133" i="15" s="1"/>
  <c r="J130" i="15"/>
  <c r="I130" i="15"/>
  <c r="K130" i="15" s="1"/>
  <c r="N127" i="15"/>
  <c r="N125" i="15" s="1"/>
  <c r="M127" i="15"/>
  <c r="P127" i="15" s="1"/>
  <c r="L127" i="15"/>
  <c r="O127" i="15" s="1"/>
  <c r="P126" i="15"/>
  <c r="O126" i="15"/>
  <c r="N124" i="15"/>
  <c r="M124" i="15"/>
  <c r="L124" i="15"/>
  <c r="O124" i="15" s="1"/>
  <c r="P123" i="15"/>
  <c r="O123" i="15"/>
  <c r="O120" i="15"/>
  <c r="N120" i="15"/>
  <c r="M120" i="15"/>
  <c r="P120" i="15" s="1"/>
  <c r="L120" i="15"/>
  <c r="K118" i="15"/>
  <c r="J118" i="15"/>
  <c r="I116" i="15"/>
  <c r="K116" i="15" s="1"/>
  <c r="I115" i="15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K99" i="15" s="1"/>
  <c r="J98" i="15"/>
  <c r="I98" i="15"/>
  <c r="N96" i="15"/>
  <c r="N94" i="15" s="1"/>
  <c r="M96" i="15"/>
  <c r="L96" i="15"/>
  <c r="P95" i="15"/>
  <c r="O95" i="15"/>
  <c r="N93" i="15"/>
  <c r="N91" i="15" s="1"/>
  <c r="M93" i="15"/>
  <c r="L93" i="15"/>
  <c r="L91" i="15" s="1"/>
  <c r="P92" i="15"/>
  <c r="O92" i="15"/>
  <c r="P89" i="15"/>
  <c r="O89" i="15"/>
  <c r="N89" i="15"/>
  <c r="M89" i="15"/>
  <c r="L89" i="15"/>
  <c r="J86" i="15"/>
  <c r="I84" i="15"/>
  <c r="K84" i="15" s="1"/>
  <c r="I83" i="15"/>
  <c r="I82" i="15"/>
  <c r="K82" i="15" s="1"/>
  <c r="I81" i="15"/>
  <c r="K81" i="15" s="1"/>
  <c r="I80" i="15"/>
  <c r="I79" i="15"/>
  <c r="K79" i="15" s="1"/>
  <c r="I78" i="15"/>
  <c r="K78" i="15" s="1"/>
  <c r="J77" i="15"/>
  <c r="J65" i="15" s="1"/>
  <c r="J76" i="15"/>
  <c r="N74" i="15"/>
  <c r="N72" i="15" s="1"/>
  <c r="M74" i="15"/>
  <c r="M72" i="15" s="1"/>
  <c r="P72" i="15" s="1"/>
  <c r="L74" i="15"/>
  <c r="L72" i="15" s="1"/>
  <c r="O72" i="15" s="1"/>
  <c r="P73" i="15"/>
  <c r="O73" i="15"/>
  <c r="N71" i="15"/>
  <c r="N69" i="15" s="1"/>
  <c r="M71" i="15"/>
  <c r="L71" i="15"/>
  <c r="L69" i="15" s="1"/>
  <c r="P70" i="15"/>
  <c r="O70" i="15"/>
  <c r="O67" i="15"/>
  <c r="N67" i="15"/>
  <c r="M67" i="15"/>
  <c r="P67" i="15" s="1"/>
  <c r="L67" i="15"/>
  <c r="J64" i="15"/>
  <c r="N61" i="15"/>
  <c r="N59" i="15" s="1"/>
  <c r="M61" i="15"/>
  <c r="L61" i="15"/>
  <c r="L59" i="15" s="1"/>
  <c r="P60" i="15"/>
  <c r="O60" i="15"/>
  <c r="N58" i="15"/>
  <c r="M58" i="15"/>
  <c r="L58" i="15"/>
  <c r="L56" i="15" s="1"/>
  <c r="P57" i="15"/>
  <c r="O57" i="15"/>
  <c r="P54" i="15"/>
  <c r="N54" i="15"/>
  <c r="M54" i="15"/>
  <c r="L54" i="15"/>
  <c r="N49" i="15"/>
  <c r="N47" i="15" s="1"/>
  <c r="M49" i="15"/>
  <c r="M47" i="15" s="1"/>
  <c r="P47" i="15" s="1"/>
  <c r="L49" i="15"/>
  <c r="L47" i="15" s="1"/>
  <c r="O47" i="15" s="1"/>
  <c r="P48" i="15"/>
  <c r="O48" i="15"/>
  <c r="N46" i="15"/>
  <c r="N44" i="15" s="1"/>
  <c r="M46" i="15"/>
  <c r="L46" i="15"/>
  <c r="L44" i="15" s="1"/>
  <c r="P45" i="15"/>
  <c r="O45" i="15"/>
  <c r="O42" i="15"/>
  <c r="N42" i="15"/>
  <c r="M42" i="15"/>
  <c r="P42" i="15" s="1"/>
  <c r="L42" i="15"/>
  <c r="P36" i="15"/>
  <c r="N36" i="15"/>
  <c r="M36" i="15"/>
  <c r="P35" i="15"/>
  <c r="O35" i="15"/>
  <c r="N35" i="15"/>
  <c r="M35" i="15"/>
  <c r="M34" i="15" s="1"/>
  <c r="L35" i="15"/>
  <c r="P34" i="15"/>
  <c r="N34" i="15"/>
  <c r="N33" i="15"/>
  <c r="N30" i="15" s="1"/>
  <c r="M33" i="15"/>
  <c r="P33" i="15" s="1"/>
  <c r="N32" i="15"/>
  <c r="M32" i="15"/>
  <c r="P32" i="15" s="1"/>
  <c r="L32" i="15"/>
  <c r="O32" i="15" s="1"/>
  <c r="M31" i="15"/>
  <c r="P31" i="15" s="1"/>
  <c r="N25" i="15"/>
  <c r="M25" i="15"/>
  <c r="P25" i="15" s="1"/>
  <c r="L25" i="15"/>
  <c r="O25" i="15" s="1"/>
  <c r="P22" i="15"/>
  <c r="O22" i="15"/>
  <c r="N22" i="15"/>
  <c r="M22" i="15"/>
  <c r="L22" i="15"/>
  <c r="N19" i="15"/>
  <c r="N12" i="15"/>
  <c r="M12" i="15"/>
  <c r="P12" i="15" s="1"/>
  <c r="L12" i="15"/>
  <c r="O12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N808" i="14"/>
  <c r="M808" i="14"/>
  <c r="P808" i="14" s="1"/>
  <c r="L808" i="14"/>
  <c r="O808" i="14" s="1"/>
  <c r="M807" i="14"/>
  <c r="L807" i="14"/>
  <c r="O807" i="14" s="1"/>
  <c r="P806" i="14"/>
  <c r="N806" i="14"/>
  <c r="M806" i="14"/>
  <c r="L806" i="14"/>
  <c r="K804" i="14"/>
  <c r="J804" i="14"/>
  <c r="J803" i="14"/>
  <c r="I803" i="14"/>
  <c r="K803" i="14" s="1"/>
  <c r="J802" i="14"/>
  <c r="J801" i="14"/>
  <c r="I801" i="14"/>
  <c r="J800" i="14"/>
  <c r="P798" i="14"/>
  <c r="O798" i="14"/>
  <c r="P797" i="14"/>
  <c r="O797" i="14"/>
  <c r="P796" i="14"/>
  <c r="N796" i="14"/>
  <c r="M796" i="14"/>
  <c r="L796" i="14"/>
  <c r="O796" i="14" s="1"/>
  <c r="P791" i="14"/>
  <c r="N791" i="14"/>
  <c r="L791" i="14"/>
  <c r="L789" i="14" s="1"/>
  <c r="O789" i="14" s="1"/>
  <c r="P790" i="14"/>
  <c r="O790" i="14"/>
  <c r="P789" i="14"/>
  <c r="N789" i="14"/>
  <c r="M789" i="14"/>
  <c r="P788" i="14"/>
  <c r="N788" i="14"/>
  <c r="M788" i="14"/>
  <c r="O787" i="14"/>
  <c r="N787" i="14"/>
  <c r="N786" i="14" s="1"/>
  <c r="M787" i="14"/>
  <c r="P787" i="14" s="1"/>
  <c r="L787" i="14"/>
  <c r="M786" i="14"/>
  <c r="P786" i="14" s="1"/>
  <c r="P782" i="14"/>
  <c r="O782" i="14"/>
  <c r="P781" i="14"/>
  <c r="O781" i="14"/>
  <c r="N780" i="14"/>
  <c r="M780" i="14"/>
  <c r="P780" i="14" s="1"/>
  <c r="L780" i="14"/>
  <c r="O780" i="14" s="1"/>
  <c r="P775" i="14"/>
  <c r="O775" i="14"/>
  <c r="N775" i="14"/>
  <c r="P774" i="14"/>
  <c r="O774" i="14"/>
  <c r="P773" i="14"/>
  <c r="N773" i="14"/>
  <c r="M773" i="14"/>
  <c r="L773" i="14"/>
  <c r="O773" i="14" s="1"/>
  <c r="P772" i="14"/>
  <c r="O772" i="14"/>
  <c r="N772" i="14"/>
  <c r="M772" i="14"/>
  <c r="L772" i="14"/>
  <c r="P771" i="14"/>
  <c r="O771" i="14"/>
  <c r="N771" i="14"/>
  <c r="M771" i="14"/>
  <c r="L771" i="14"/>
  <c r="O770" i="14"/>
  <c r="N770" i="14"/>
  <c r="M770" i="14"/>
  <c r="P770" i="14" s="1"/>
  <c r="L770" i="14"/>
  <c r="K769" i="14"/>
  <c r="J769" i="14"/>
  <c r="P766" i="14"/>
  <c r="O766" i="14"/>
  <c r="P765" i="14"/>
  <c r="O765" i="14"/>
  <c r="N764" i="14"/>
  <c r="M764" i="14"/>
  <c r="P764" i="14" s="1"/>
  <c r="L764" i="14"/>
  <c r="O764" i="14" s="1"/>
  <c r="P759" i="14"/>
  <c r="O759" i="14"/>
  <c r="N759" i="14"/>
  <c r="P758" i="14"/>
  <c r="O758" i="14"/>
  <c r="P757" i="14"/>
  <c r="N757" i="14"/>
  <c r="M757" i="14"/>
  <c r="L757" i="14"/>
  <c r="O757" i="14" s="1"/>
  <c r="P756" i="14"/>
  <c r="O756" i="14"/>
  <c r="N756" i="14"/>
  <c r="M756" i="14"/>
  <c r="L756" i="14"/>
  <c r="P755" i="14"/>
  <c r="O755" i="14"/>
  <c r="N755" i="14"/>
  <c r="M755" i="14"/>
  <c r="L755" i="14"/>
  <c r="O754" i="14"/>
  <c r="N754" i="14"/>
  <c r="M754" i="14"/>
  <c r="P754" i="14" s="1"/>
  <c r="L754" i="14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P741" i="14"/>
  <c r="O741" i="14"/>
  <c r="P740" i="14"/>
  <c r="N740" i="14"/>
  <c r="M740" i="14"/>
  <c r="L740" i="14"/>
  <c r="O740" i="14" s="1"/>
  <c r="P739" i="14"/>
  <c r="O739" i="14"/>
  <c r="N739" i="14"/>
  <c r="M739" i="14"/>
  <c r="L739" i="14"/>
  <c r="P738" i="14"/>
  <c r="O738" i="14"/>
  <c r="N738" i="14"/>
  <c r="M738" i="14"/>
  <c r="L738" i="14"/>
  <c r="O737" i="14"/>
  <c r="N737" i="14"/>
  <c r="M737" i="14"/>
  <c r="P737" i="14" s="1"/>
  <c r="L737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L690" i="14"/>
  <c r="P688" i="14"/>
  <c r="N688" i="14"/>
  <c r="M688" i="14"/>
  <c r="P687" i="14"/>
  <c r="N687" i="14"/>
  <c r="M687" i="14"/>
  <c r="O686" i="14"/>
  <c r="N686" i="14"/>
  <c r="N685" i="14" s="1"/>
  <c r="M686" i="14"/>
  <c r="P686" i="14" s="1"/>
  <c r="L686" i="14"/>
  <c r="M685" i="14"/>
  <c r="P685" i="14" s="1"/>
  <c r="J679" i="14"/>
  <c r="J678" i="14" s="1"/>
  <c r="I678" i="14"/>
  <c r="K678" i="14" s="1"/>
  <c r="J675" i="14"/>
  <c r="J669" i="14" s="1"/>
  <c r="I671" i="14"/>
  <c r="K671" i="14" s="1"/>
  <c r="I670" i="14"/>
  <c r="K670" i="14" s="1"/>
  <c r="I669" i="14"/>
  <c r="P667" i="14"/>
  <c r="O667" i="14"/>
  <c r="P666" i="14"/>
  <c r="O666" i="14"/>
  <c r="O665" i="14"/>
  <c r="N665" i="14"/>
  <c r="M665" i="14"/>
  <c r="P665" i="14" s="1"/>
  <c r="L665" i="14"/>
  <c r="P660" i="14"/>
  <c r="N660" i="14"/>
  <c r="N657" i="14" s="1"/>
  <c r="N655" i="14" s="1"/>
  <c r="L660" i="14"/>
  <c r="L657" i="14" s="1"/>
  <c r="O657" i="14" s="1"/>
  <c r="P659" i="14"/>
  <c r="O659" i="14"/>
  <c r="M658" i="14"/>
  <c r="P658" i="14" s="1"/>
  <c r="M657" i="14"/>
  <c r="P656" i="14"/>
  <c r="N656" i="14"/>
  <c r="M656" i="14"/>
  <c r="L656" i="14"/>
  <c r="J654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L632" i="14" s="1"/>
  <c r="O632" i="14" s="1"/>
  <c r="P633" i="14"/>
  <c r="O633" i="14"/>
  <c r="P632" i="14"/>
  <c r="N632" i="14"/>
  <c r="M632" i="14"/>
  <c r="N631" i="14"/>
  <c r="M631" i="14"/>
  <c r="P631" i="14" s="1"/>
  <c r="N630" i="14"/>
  <c r="M630" i="14"/>
  <c r="L630" i="14"/>
  <c r="O630" i="14" s="1"/>
  <c r="J621" i="14"/>
  <c r="I621" i="14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I592" i="14" s="1"/>
  <c r="J583" i="14"/>
  <c r="J577" i="14" s="1"/>
  <c r="J582" i="14"/>
  <c r="J576" i="14" s="1"/>
  <c r="J559" i="14" s="1"/>
  <c r="J543" i="14" s="1"/>
  <c r="I577" i="14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P557" i="14"/>
  <c r="L557" i="14"/>
  <c r="L555" i="14" s="1"/>
  <c r="O555" i="14" s="1"/>
  <c r="P556" i="14"/>
  <c r="O556" i="14"/>
  <c r="N555" i="14"/>
  <c r="N545" i="14" s="1"/>
  <c r="N544" i="14" s="1"/>
  <c r="M555" i="14"/>
  <c r="P549" i="14"/>
  <c r="N549" i="14"/>
  <c r="L549" i="14"/>
  <c r="O549" i="14" s="1"/>
  <c r="P548" i="14"/>
  <c r="O548" i="14"/>
  <c r="N547" i="14"/>
  <c r="M547" i="14"/>
  <c r="P547" i="14" s="1"/>
  <c r="P546" i="14"/>
  <c r="N546" i="14"/>
  <c r="M546" i="14"/>
  <c r="O545" i="14"/>
  <c r="L545" i="14"/>
  <c r="I542" i="14"/>
  <c r="K542" i="14" s="1"/>
  <c r="I541" i="14"/>
  <c r="K541" i="14" s="1"/>
  <c r="I540" i="14"/>
  <c r="K540" i="14" s="1"/>
  <c r="I539" i="14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P526" i="14"/>
  <c r="N526" i="14"/>
  <c r="M526" i="14"/>
  <c r="P525" i="14"/>
  <c r="N525" i="14"/>
  <c r="M525" i="14"/>
  <c r="O524" i="14"/>
  <c r="N524" i="14"/>
  <c r="M524" i="14"/>
  <c r="P524" i="14" s="1"/>
  <c r="L524" i="14"/>
  <c r="N523" i="14"/>
  <c r="M523" i="14"/>
  <c r="P523" i="14" s="1"/>
  <c r="K517" i="14"/>
  <c r="J517" i="14"/>
  <c r="J501" i="14" s="1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P506" i="14"/>
  <c r="O506" i="14"/>
  <c r="O505" i="14"/>
  <c r="N505" i="14"/>
  <c r="M505" i="14"/>
  <c r="P505" i="14" s="1"/>
  <c r="L505" i="14"/>
  <c r="N504" i="14"/>
  <c r="N502" i="14" s="1"/>
  <c r="M504" i="14"/>
  <c r="P504" i="14" s="1"/>
  <c r="L504" i="14"/>
  <c r="O504" i="14" s="1"/>
  <c r="N503" i="14"/>
  <c r="M503" i="14"/>
  <c r="L503" i="14"/>
  <c r="O503" i="14" s="1"/>
  <c r="L502" i="14"/>
  <c r="O502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P472" i="14"/>
  <c r="N472" i="14"/>
  <c r="N469" i="14" s="1"/>
  <c r="N467" i="14" s="1"/>
  <c r="L472" i="14"/>
  <c r="L470" i="14" s="1"/>
  <c r="P471" i="14"/>
  <c r="O471" i="14"/>
  <c r="N470" i="14"/>
  <c r="M470" i="14"/>
  <c r="P470" i="14" s="1"/>
  <c r="M469" i="14"/>
  <c r="P469" i="14" s="1"/>
  <c r="N468" i="14"/>
  <c r="M468" i="14"/>
  <c r="L468" i="14"/>
  <c r="O468" i="14" s="1"/>
  <c r="J466" i="14"/>
  <c r="I466" i="14"/>
  <c r="K466" i="14" s="1"/>
  <c r="J465" i="14"/>
  <c r="I465" i="14"/>
  <c r="K465" i="14" s="1"/>
  <c r="I464" i="14"/>
  <c r="I463" i="14"/>
  <c r="I462" i="14"/>
  <c r="I443" i="14" s="1"/>
  <c r="K443" i="14" s="1"/>
  <c r="I460" i="14"/>
  <c r="K460" i="14" s="1"/>
  <c r="K458" i="14"/>
  <c r="P456" i="14"/>
  <c r="L456" i="14"/>
  <c r="L454" i="14" s="1"/>
  <c r="O454" i="14" s="1"/>
  <c r="P455" i="14"/>
  <c r="O455" i="14"/>
  <c r="P454" i="14"/>
  <c r="N454" i="14"/>
  <c r="M454" i="14"/>
  <c r="P449" i="14"/>
  <c r="N449" i="14"/>
  <c r="L449" i="14"/>
  <c r="L447" i="14" s="1"/>
  <c r="O447" i="14" s="1"/>
  <c r="P448" i="14"/>
  <c r="O448" i="14"/>
  <c r="P447" i="14"/>
  <c r="N447" i="14"/>
  <c r="M447" i="14"/>
  <c r="N446" i="14"/>
  <c r="M446" i="14"/>
  <c r="P446" i="14" s="1"/>
  <c r="N445" i="14"/>
  <c r="M445" i="14"/>
  <c r="P445" i="14" s="1"/>
  <c r="L445" i="14"/>
  <c r="O445" i="14" s="1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J434" i="14"/>
  <c r="P431" i="14"/>
  <c r="L431" i="14"/>
  <c r="L429" i="14" s="1"/>
  <c r="O429" i="14" s="1"/>
  <c r="P430" i="14"/>
  <c r="O430" i="14"/>
  <c r="P429" i="14"/>
  <c r="N429" i="14"/>
  <c r="M429" i="14"/>
  <c r="P424" i="14"/>
  <c r="N424" i="14"/>
  <c r="L424" i="14"/>
  <c r="L422" i="14" s="1"/>
  <c r="O422" i="14" s="1"/>
  <c r="P423" i="14"/>
  <c r="O423" i="14"/>
  <c r="P422" i="14"/>
  <c r="N422" i="14"/>
  <c r="M422" i="14"/>
  <c r="N421" i="14"/>
  <c r="M421" i="14"/>
  <c r="P421" i="14" s="1"/>
  <c r="N420" i="14"/>
  <c r="N419" i="14" s="1"/>
  <c r="M420" i="14"/>
  <c r="P420" i="14" s="1"/>
  <c r="L420" i="14"/>
  <c r="O420" i="14" s="1"/>
  <c r="J418" i="14"/>
  <c r="K413" i="14"/>
  <c r="K412" i="14"/>
  <c r="N410" i="14"/>
  <c r="N408" i="14" s="1"/>
  <c r="M410" i="14"/>
  <c r="P410" i="14" s="1"/>
  <c r="L410" i="14"/>
  <c r="P409" i="14"/>
  <c r="O409" i="14"/>
  <c r="N407" i="14"/>
  <c r="N405" i="14" s="1"/>
  <c r="M407" i="14"/>
  <c r="P407" i="14" s="1"/>
  <c r="L407" i="14"/>
  <c r="P406" i="14"/>
  <c r="O406" i="14"/>
  <c r="P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M395" i="14" s="1"/>
  <c r="P395" i="14" s="1"/>
  <c r="L397" i="14"/>
  <c r="L395" i="14" s="1"/>
  <c r="O395" i="14" s="1"/>
  <c r="P396" i="14"/>
  <c r="O396" i="14"/>
  <c r="N394" i="14"/>
  <c r="N392" i="14" s="1"/>
  <c r="M394" i="14"/>
  <c r="M392" i="14" s="1"/>
  <c r="P392" i="14" s="1"/>
  <c r="L394" i="14"/>
  <c r="L392" i="14" s="1"/>
  <c r="O392" i="14" s="1"/>
  <c r="P393" i="14"/>
  <c r="O393" i="14"/>
  <c r="N390" i="14"/>
  <c r="M390" i="14"/>
  <c r="P390" i="14" s="1"/>
  <c r="L390" i="14"/>
  <c r="O390" i="14" s="1"/>
  <c r="K388" i="14"/>
  <c r="J388" i="14"/>
  <c r="I388" i="14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L351" i="14" s="1"/>
  <c r="P352" i="14"/>
  <c r="O352" i="14"/>
  <c r="N350" i="14"/>
  <c r="M350" i="14"/>
  <c r="M348" i="14" s="1"/>
  <c r="L350" i="14"/>
  <c r="P349" i="14"/>
  <c r="O349" i="14"/>
  <c r="N346" i="14"/>
  <c r="M346" i="14"/>
  <c r="P346" i="14" s="1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P335" i="14"/>
  <c r="O335" i="14"/>
  <c r="N333" i="14"/>
  <c r="M333" i="14"/>
  <c r="M331" i="14" s="1"/>
  <c r="L333" i="14"/>
  <c r="L331" i="14" s="1"/>
  <c r="P332" i="14"/>
  <c r="O332" i="14"/>
  <c r="O329" i="14"/>
  <c r="N329" i="14"/>
  <c r="M329" i="14"/>
  <c r="L329" i="14"/>
  <c r="I327" i="14"/>
  <c r="I325" i="14"/>
  <c r="K325" i="14" s="1"/>
  <c r="N323" i="14"/>
  <c r="N321" i="14" s="1"/>
  <c r="M323" i="14"/>
  <c r="P323" i="14" s="1"/>
  <c r="L323" i="14"/>
  <c r="P322" i="14"/>
  <c r="O322" i="14"/>
  <c r="N320" i="14"/>
  <c r="N318" i="14" s="1"/>
  <c r="M320" i="14"/>
  <c r="P320" i="14" s="1"/>
  <c r="L320" i="14"/>
  <c r="P319" i="14"/>
  <c r="O319" i="14"/>
  <c r="O316" i="14"/>
  <c r="N316" i="14"/>
  <c r="M316" i="14"/>
  <c r="P316" i="14" s="1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O306" i="14" s="1"/>
  <c r="P305" i="14"/>
  <c r="O305" i="14"/>
  <c r="N303" i="14"/>
  <c r="N301" i="14" s="1"/>
  <c r="M303" i="14"/>
  <c r="M301" i="14" s="1"/>
  <c r="P301" i="14" s="1"/>
  <c r="L303" i="14"/>
  <c r="O303" i="14" s="1"/>
  <c r="P302" i="14"/>
  <c r="O302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K288" i="14" s="1"/>
  <c r="I287" i="14"/>
  <c r="K287" i="14" s="1"/>
  <c r="N285" i="14"/>
  <c r="N283" i="14" s="1"/>
  <c r="M285" i="14"/>
  <c r="P285" i="14" s="1"/>
  <c r="L285" i="14"/>
  <c r="L283" i="14" s="1"/>
  <c r="O283" i="14" s="1"/>
  <c r="P284" i="14"/>
  <c r="O284" i="14"/>
  <c r="N282" i="14"/>
  <c r="M282" i="14"/>
  <c r="M280" i="14" s="1"/>
  <c r="L282" i="14"/>
  <c r="L280" i="14" s="1"/>
  <c r="P281" i="14"/>
  <c r="O281" i="14"/>
  <c r="P278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O269" i="14" s="1"/>
  <c r="P268" i="14"/>
  <c r="O268" i="14"/>
  <c r="N266" i="14"/>
  <c r="M266" i="14"/>
  <c r="M264" i="14" s="1"/>
  <c r="L266" i="14"/>
  <c r="P265" i="14"/>
  <c r="O265" i="14"/>
  <c r="O262" i="14"/>
  <c r="N262" i="14"/>
  <c r="M262" i="14"/>
  <c r="L262" i="14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J226" i="14"/>
  <c r="I225" i="14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P188" i="14"/>
  <c r="O188" i="14"/>
  <c r="N186" i="14"/>
  <c r="M186" i="14"/>
  <c r="M184" i="14" s="1"/>
  <c r="L186" i="14"/>
  <c r="P185" i="14"/>
  <c r="O185" i="14"/>
  <c r="O182" i="14"/>
  <c r="N182" i="14"/>
  <c r="M182" i="14"/>
  <c r="P182" i="14" s="1"/>
  <c r="L182" i="14"/>
  <c r="J180" i="14"/>
  <c r="J177" i="14"/>
  <c r="I176" i="14"/>
  <c r="I174" i="14" s="1"/>
  <c r="J174" i="14"/>
  <c r="J164" i="14" s="1"/>
  <c r="N173" i="14"/>
  <c r="N171" i="14" s="1"/>
  <c r="M173" i="14"/>
  <c r="L173" i="14"/>
  <c r="L171" i="14" s="1"/>
  <c r="O171" i="14" s="1"/>
  <c r="P172" i="14"/>
  <c r="O172" i="14"/>
  <c r="N170" i="14"/>
  <c r="M170" i="14"/>
  <c r="M168" i="14" s="1"/>
  <c r="L170" i="14"/>
  <c r="L168" i="14" s="1"/>
  <c r="P169" i="14"/>
  <c r="O169" i="14"/>
  <c r="O166" i="14"/>
  <c r="N166" i="14"/>
  <c r="M166" i="14"/>
  <c r="P166" i="14" s="1"/>
  <c r="L166" i="14"/>
  <c r="I159" i="14"/>
  <c r="K159" i="14" s="1"/>
  <c r="N157" i="14"/>
  <c r="N155" i="14" s="1"/>
  <c r="M157" i="14"/>
  <c r="P157" i="14" s="1"/>
  <c r="L157" i="14"/>
  <c r="O157" i="14" s="1"/>
  <c r="P156" i="14"/>
  <c r="O156" i="14"/>
  <c r="N154" i="14"/>
  <c r="M154" i="14"/>
  <c r="L154" i="14"/>
  <c r="O154" i="14" s="1"/>
  <c r="P153" i="14"/>
  <c r="O153" i="14"/>
  <c r="O150" i="14"/>
  <c r="N150" i="14"/>
  <c r="M150" i="14"/>
  <c r="L150" i="14"/>
  <c r="J148" i="14"/>
  <c r="I146" i="14"/>
  <c r="K146" i="14" s="1"/>
  <c r="I145" i="14"/>
  <c r="K145" i="14" s="1"/>
  <c r="I144" i="14"/>
  <c r="N140" i="14"/>
  <c r="N138" i="14" s="1"/>
  <c r="M140" i="14"/>
  <c r="P140" i="14" s="1"/>
  <c r="L140" i="14"/>
  <c r="L138" i="14" s="1"/>
  <c r="O138" i="14" s="1"/>
  <c r="P139" i="14"/>
  <c r="O139" i="14"/>
  <c r="N137" i="14"/>
  <c r="N135" i="14" s="1"/>
  <c r="M137" i="14"/>
  <c r="P137" i="14" s="1"/>
  <c r="L137" i="14"/>
  <c r="O137" i="14" s="1"/>
  <c r="P136" i="14"/>
  <c r="O136" i="14"/>
  <c r="N133" i="14"/>
  <c r="M133" i="14"/>
  <c r="L133" i="14"/>
  <c r="O133" i="14" s="1"/>
  <c r="J130" i="14"/>
  <c r="N127" i="14"/>
  <c r="N125" i="14" s="1"/>
  <c r="M127" i="14"/>
  <c r="P127" i="14" s="1"/>
  <c r="L127" i="14"/>
  <c r="O127" i="14" s="1"/>
  <c r="P126" i="14"/>
  <c r="O126" i="14"/>
  <c r="N124" i="14"/>
  <c r="N122" i="14" s="1"/>
  <c r="M124" i="14"/>
  <c r="P124" i="14" s="1"/>
  <c r="L124" i="14"/>
  <c r="O124" i="14" s="1"/>
  <c r="P123" i="14"/>
  <c r="O123" i="14"/>
  <c r="O120" i="14"/>
  <c r="N120" i="14"/>
  <c r="M120" i="14"/>
  <c r="L120" i="14"/>
  <c r="J118" i="14"/>
  <c r="K118" i="14" s="1"/>
  <c r="I116" i="14"/>
  <c r="K116" i="14" s="1"/>
  <c r="I115" i="14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J86" i="14" s="1"/>
  <c r="I98" i="14"/>
  <c r="K98" i="14" s="1"/>
  <c r="N96" i="14"/>
  <c r="N94" i="14" s="1"/>
  <c r="M96" i="14"/>
  <c r="L96" i="14"/>
  <c r="O96" i="14" s="1"/>
  <c r="P95" i="14"/>
  <c r="O95" i="14"/>
  <c r="N93" i="14"/>
  <c r="N91" i="14" s="1"/>
  <c r="M93" i="14"/>
  <c r="M91" i="14" s="1"/>
  <c r="L93" i="14"/>
  <c r="L91" i="14" s="1"/>
  <c r="P92" i="14"/>
  <c r="O92" i="14"/>
  <c r="P89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I79" i="14"/>
  <c r="I78" i="14"/>
  <c r="K78" i="14" s="1"/>
  <c r="J77" i="14"/>
  <c r="J65" i="14" s="1"/>
  <c r="J76" i="14"/>
  <c r="N74" i="14"/>
  <c r="N72" i="14" s="1"/>
  <c r="M74" i="14"/>
  <c r="M72" i="14" s="1"/>
  <c r="P72" i="14" s="1"/>
  <c r="L74" i="14"/>
  <c r="L72" i="14" s="1"/>
  <c r="O72" i="14" s="1"/>
  <c r="P73" i="14"/>
  <c r="O73" i="14"/>
  <c r="N71" i="14"/>
  <c r="M71" i="14"/>
  <c r="M69" i="14" s="1"/>
  <c r="P69" i="14" s="1"/>
  <c r="L71" i="14"/>
  <c r="O71" i="14" s="1"/>
  <c r="P70" i="14"/>
  <c r="O70" i="14"/>
  <c r="P67" i="14"/>
  <c r="N67" i="14"/>
  <c r="M67" i="14"/>
  <c r="L67" i="14"/>
  <c r="J64" i="14"/>
  <c r="N61" i="14"/>
  <c r="M61" i="14"/>
  <c r="P61" i="14" s="1"/>
  <c r="L61" i="14"/>
  <c r="P60" i="14"/>
  <c r="O60" i="14"/>
  <c r="N58" i="14"/>
  <c r="M58" i="14"/>
  <c r="L58" i="14"/>
  <c r="P57" i="14"/>
  <c r="O57" i="14"/>
  <c r="O54" i="14"/>
  <c r="N54" i="14"/>
  <c r="M54" i="14"/>
  <c r="L54" i="14"/>
  <c r="N49" i="14"/>
  <c r="M49" i="14"/>
  <c r="L49" i="14"/>
  <c r="O49" i="14" s="1"/>
  <c r="P48" i="14"/>
  <c r="O48" i="14"/>
  <c r="N46" i="14"/>
  <c r="N44" i="14" s="1"/>
  <c r="M46" i="14"/>
  <c r="M44" i="14" s="1"/>
  <c r="L46" i="14"/>
  <c r="L44" i="14" s="1"/>
  <c r="P45" i="14"/>
  <c r="O45" i="14"/>
  <c r="P42" i="14"/>
  <c r="N42" i="14"/>
  <c r="M42" i="14"/>
  <c r="L42" i="14"/>
  <c r="N36" i="14"/>
  <c r="M36" i="14"/>
  <c r="P36" i="14" s="1"/>
  <c r="N35" i="14"/>
  <c r="N34" i="14" s="1"/>
  <c r="M35" i="14"/>
  <c r="P35" i="14" s="1"/>
  <c r="L35" i="14"/>
  <c r="O35" i="14" s="1"/>
  <c r="P33" i="14"/>
  <c r="N33" i="14"/>
  <c r="N30" i="14" s="1"/>
  <c r="M33" i="14"/>
  <c r="O32" i="14"/>
  <c r="N32" i="14"/>
  <c r="M32" i="14"/>
  <c r="M29" i="14" s="1"/>
  <c r="L32" i="14"/>
  <c r="N29" i="14"/>
  <c r="P25" i="14"/>
  <c r="O25" i="14"/>
  <c r="N25" i="14"/>
  <c r="N19" i="14" s="1"/>
  <c r="M25" i="14"/>
  <c r="L25" i="14"/>
  <c r="P22" i="14"/>
  <c r="N22" i="14"/>
  <c r="M22" i="14"/>
  <c r="M12" i="14" s="1"/>
  <c r="L22" i="14"/>
  <c r="P19" i="14"/>
  <c r="M19" i="14"/>
  <c r="M15" i="14"/>
  <c r="P15" i="14" s="1"/>
  <c r="L15" i="14"/>
  <c r="O15" i="14" s="1"/>
  <c r="N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O808" i="13"/>
  <c r="M808" i="13"/>
  <c r="P808" i="13" s="1"/>
  <c r="L808" i="13"/>
  <c r="M807" i="13"/>
  <c r="P807" i="13" s="1"/>
  <c r="L807" i="13"/>
  <c r="O807" i="13" s="1"/>
  <c r="N806" i="13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N788" i="13" s="1"/>
  <c r="N786" i="13" s="1"/>
  <c r="L791" i="13"/>
  <c r="L788" i="13" s="1"/>
  <c r="O788" i="13" s="1"/>
  <c r="P790" i="13"/>
  <c r="O790" i="13"/>
  <c r="N789" i="13"/>
  <c r="M789" i="13"/>
  <c r="P789" i="13" s="1"/>
  <c r="M788" i="13"/>
  <c r="P788" i="13" s="1"/>
  <c r="N787" i="13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M772" i="13"/>
  <c r="P772" i="13" s="1"/>
  <c r="L772" i="13"/>
  <c r="N771" i="13"/>
  <c r="M771" i="13"/>
  <c r="L771" i="13"/>
  <c r="O771" i="13" s="1"/>
  <c r="L770" i="13"/>
  <c r="O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M756" i="13"/>
  <c r="P756" i="13" s="1"/>
  <c r="L756" i="13"/>
  <c r="N755" i="13"/>
  <c r="N754" i="13" s="1"/>
  <c r="M755" i="13"/>
  <c r="L755" i="13"/>
  <c r="O755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M739" i="13"/>
  <c r="P739" i="13" s="1"/>
  <c r="L739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L690" i="13"/>
  <c r="L687" i="13" s="1"/>
  <c r="O687" i="13" s="1"/>
  <c r="N688" i="13"/>
  <c r="M688" i="13"/>
  <c r="P688" i="13" s="1"/>
  <c r="N687" i="13"/>
  <c r="N685" i="13" s="1"/>
  <c r="M687" i="13"/>
  <c r="P687" i="13" s="1"/>
  <c r="N686" i="13"/>
  <c r="M686" i="13"/>
  <c r="P686" i="13" s="1"/>
  <c r="L686" i="13"/>
  <c r="J679" i="13"/>
  <c r="J678" i="13" s="1"/>
  <c r="I678" i="13"/>
  <c r="K678" i="13" s="1"/>
  <c r="J675" i="13"/>
  <c r="J669" i="13" s="1"/>
  <c r="J654" i="13" s="1"/>
  <c r="I671" i="13"/>
  <c r="K671" i="13" s="1"/>
  <c r="I670" i="13"/>
  <c r="K670" i="13" s="1"/>
  <c r="I669" i="13"/>
  <c r="K674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N657" i="13" s="1"/>
  <c r="L660" i="13"/>
  <c r="O660" i="13" s="1"/>
  <c r="P659" i="13"/>
  <c r="O659" i="13"/>
  <c r="P658" i="13"/>
  <c r="N658" i="13"/>
  <c r="M658" i="13"/>
  <c r="P657" i="13"/>
  <c r="M657" i="13"/>
  <c r="P656" i="13"/>
  <c r="O656" i="13"/>
  <c r="N656" i="13"/>
  <c r="N655" i="13" s="1"/>
  <c r="M656" i="13"/>
  <c r="L656" i="13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N631" i="13" s="1"/>
  <c r="L634" i="13"/>
  <c r="O634" i="13" s="1"/>
  <c r="P633" i="13"/>
  <c r="O633" i="13"/>
  <c r="N632" i="13"/>
  <c r="M632" i="13"/>
  <c r="P632" i="13" s="1"/>
  <c r="M631" i="13"/>
  <c r="P631" i="13" s="1"/>
  <c r="P630" i="13"/>
  <c r="N630" i="13"/>
  <c r="N629" i="13" s="1"/>
  <c r="M630" i="13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3" i="13" s="1"/>
  <c r="J594" i="13"/>
  <c r="I594" i="13"/>
  <c r="K594" i="13" s="1"/>
  <c r="I593" i="13"/>
  <c r="I592" i="13" s="1"/>
  <c r="K592" i="13" s="1"/>
  <c r="J592" i="13"/>
  <c r="J583" i="13"/>
  <c r="J582" i="13"/>
  <c r="J577" i="13"/>
  <c r="I577" i="13"/>
  <c r="K577" i="13" s="1"/>
  <c r="J576" i="13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J543" i="13" s="1"/>
  <c r="P557" i="13"/>
  <c r="L557" i="13"/>
  <c r="O557" i="13" s="1"/>
  <c r="P556" i="13"/>
  <c r="O556" i="13"/>
  <c r="P555" i="13"/>
  <c r="N555" i="13"/>
  <c r="M555" i="13"/>
  <c r="P549" i="13"/>
  <c r="N549" i="13"/>
  <c r="L549" i="13"/>
  <c r="L547" i="13" s="1"/>
  <c r="O547" i="13" s="1"/>
  <c r="P548" i="13"/>
  <c r="O548" i="13"/>
  <c r="P547" i="13"/>
  <c r="N547" i="13"/>
  <c r="M547" i="13"/>
  <c r="P546" i="13"/>
  <c r="N546" i="13"/>
  <c r="M546" i="13"/>
  <c r="O545" i="13"/>
  <c r="N545" i="13"/>
  <c r="N544" i="13" s="1"/>
  <c r="M545" i="13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L533" i="13"/>
  <c r="O533" i="13" s="1"/>
  <c r="P528" i="13"/>
  <c r="N528" i="13"/>
  <c r="L528" i="13"/>
  <c r="P527" i="13"/>
  <c r="O527" i="13"/>
  <c r="M526" i="13"/>
  <c r="P526" i="13" s="1"/>
  <c r="M525" i="13"/>
  <c r="P525" i="13" s="1"/>
  <c r="N524" i="13"/>
  <c r="M524" i="13"/>
  <c r="P524" i="13" s="1"/>
  <c r="L524" i="13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N504" i="13" s="1"/>
  <c r="P506" i="13"/>
  <c r="O506" i="13"/>
  <c r="M505" i="13"/>
  <c r="P505" i="13" s="1"/>
  <c r="L505" i="13"/>
  <c r="O505" i="13" s="1"/>
  <c r="P504" i="13"/>
  <c r="M504" i="13"/>
  <c r="L504" i="13"/>
  <c r="O504" i="13" s="1"/>
  <c r="P503" i="13"/>
  <c r="O503" i="13"/>
  <c r="N503" i="13"/>
  <c r="M503" i="13"/>
  <c r="L503" i="13"/>
  <c r="P502" i="13"/>
  <c r="N502" i="13"/>
  <c r="M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N477" i="13"/>
  <c r="M477" i="13"/>
  <c r="P477" i="13" s="1"/>
  <c r="P472" i="13"/>
  <c r="N472" i="13"/>
  <c r="L472" i="13"/>
  <c r="O472" i="13" s="1"/>
  <c r="P471" i="13"/>
  <c r="O471" i="13"/>
  <c r="N470" i="13"/>
  <c r="M470" i="13"/>
  <c r="P470" i="13" s="1"/>
  <c r="P469" i="13"/>
  <c r="N469" i="13"/>
  <c r="M469" i="13"/>
  <c r="P468" i="13"/>
  <c r="O468" i="13"/>
  <c r="N468" i="13"/>
  <c r="M468" i="13"/>
  <c r="M467" i="13" s="1"/>
  <c r="P467" i="13" s="1"/>
  <c r="L468" i="13"/>
  <c r="N467" i="13"/>
  <c r="J466" i="13"/>
  <c r="I466" i="13"/>
  <c r="K466" i="13" s="1"/>
  <c r="J465" i="13"/>
  <c r="I465" i="13"/>
  <c r="K465" i="13" s="1"/>
  <c r="I464" i="13"/>
  <c r="I463" i="13"/>
  <c r="I462" i="13"/>
  <c r="I443" i="13" s="1"/>
  <c r="K443" i="13" s="1"/>
  <c r="I460" i="13"/>
  <c r="K458" i="13"/>
  <c r="P456" i="13"/>
  <c r="L456" i="13"/>
  <c r="L454" i="13" s="1"/>
  <c r="O454" i="13" s="1"/>
  <c r="P455" i="13"/>
  <c r="O455" i="13"/>
  <c r="N454" i="13"/>
  <c r="M454" i="13"/>
  <c r="P454" i="13" s="1"/>
  <c r="P449" i="13"/>
  <c r="N449" i="13"/>
  <c r="N446" i="13" s="1"/>
  <c r="N444" i="13" s="1"/>
  <c r="L449" i="13"/>
  <c r="O449" i="13" s="1"/>
  <c r="P448" i="13"/>
  <c r="O448" i="13"/>
  <c r="N447" i="13"/>
  <c r="M447" i="13"/>
  <c r="P447" i="13" s="1"/>
  <c r="M446" i="13"/>
  <c r="P446" i="13" s="1"/>
  <c r="P445" i="13"/>
  <c r="N445" i="13"/>
  <c r="M445" i="13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P431" i="13"/>
  <c r="L431" i="13"/>
  <c r="P430" i="13"/>
  <c r="O430" i="13"/>
  <c r="N429" i="13"/>
  <c r="M429" i="13"/>
  <c r="P429" i="13" s="1"/>
  <c r="P424" i="13"/>
  <c r="N424" i="13"/>
  <c r="L424" i="13"/>
  <c r="L422" i="13" s="1"/>
  <c r="P423" i="13"/>
  <c r="O423" i="13"/>
  <c r="M422" i="13"/>
  <c r="P422" i="13" s="1"/>
  <c r="M421" i="13"/>
  <c r="P420" i="13"/>
  <c r="N420" i="13"/>
  <c r="M420" i="13"/>
  <c r="L420" i="13"/>
  <c r="J418" i="13"/>
  <c r="K413" i="13"/>
  <c r="K412" i="13"/>
  <c r="N410" i="13"/>
  <c r="M410" i="13"/>
  <c r="M408" i="13" s="1"/>
  <c r="P408" i="13" s="1"/>
  <c r="L410" i="13"/>
  <c r="O410" i="13" s="1"/>
  <c r="P409" i="13"/>
  <c r="O409" i="13"/>
  <c r="N407" i="13"/>
  <c r="N405" i="13" s="1"/>
  <c r="M407" i="13"/>
  <c r="M405" i="13" s="1"/>
  <c r="P405" i="13" s="1"/>
  <c r="L407" i="13"/>
  <c r="P406" i="13"/>
  <c r="O406" i="13"/>
  <c r="P403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L397" i="13"/>
  <c r="O397" i="13" s="1"/>
  <c r="P396" i="13"/>
  <c r="O396" i="13"/>
  <c r="N394" i="13"/>
  <c r="N392" i="13" s="1"/>
  <c r="M394" i="13"/>
  <c r="L394" i="13"/>
  <c r="P393" i="13"/>
  <c r="O393" i="13"/>
  <c r="P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N348" i="13" s="1"/>
  <c r="M350" i="13"/>
  <c r="L350" i="13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M333" i="13"/>
  <c r="L333" i="13"/>
  <c r="P332" i="13"/>
  <c r="O332" i="13"/>
  <c r="P329" i="13"/>
  <c r="O329" i="13"/>
  <c r="N329" i="13"/>
  <c r="M329" i="13"/>
  <c r="L329" i="13"/>
  <c r="I327" i="13"/>
  <c r="I325" i="13"/>
  <c r="I314" i="13" s="1"/>
  <c r="K314" i="13" s="1"/>
  <c r="N323" i="13"/>
  <c r="N321" i="13" s="1"/>
  <c r="M323" i="13"/>
  <c r="P323" i="13" s="1"/>
  <c r="L323" i="13"/>
  <c r="L321" i="13" s="1"/>
  <c r="O321" i="13" s="1"/>
  <c r="P322" i="13"/>
  <c r="O322" i="13"/>
  <c r="N320" i="13"/>
  <c r="M320" i="13"/>
  <c r="L320" i="13"/>
  <c r="P319" i="13"/>
  <c r="O319" i="13"/>
  <c r="N316" i="13"/>
  <c r="M316" i="13"/>
  <c r="P316" i="13" s="1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M306" i="13"/>
  <c r="P306" i="13" s="1"/>
  <c r="L306" i="13"/>
  <c r="P305" i="13"/>
  <c r="O305" i="13"/>
  <c r="N303" i="13"/>
  <c r="N301" i="13" s="1"/>
  <c r="M303" i="13"/>
  <c r="L303" i="13"/>
  <c r="O303" i="13" s="1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P285" i="13" s="1"/>
  <c r="L285" i="13"/>
  <c r="L283" i="13" s="1"/>
  <c r="O283" i="13" s="1"/>
  <c r="P284" i="13"/>
  <c r="O284" i="13"/>
  <c r="N282" i="13"/>
  <c r="N280" i="13" s="1"/>
  <c r="M282" i="13"/>
  <c r="L282" i="13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M267" i="13" s="1"/>
  <c r="P267" i="13" s="1"/>
  <c r="L269" i="13"/>
  <c r="O269" i="13" s="1"/>
  <c r="P268" i="13"/>
  <c r="O268" i="13"/>
  <c r="N266" i="13"/>
  <c r="N264" i="13" s="1"/>
  <c r="M266" i="13"/>
  <c r="M264" i="13" s="1"/>
  <c r="L266" i="13"/>
  <c r="L264" i="13" s="1"/>
  <c r="P265" i="13"/>
  <c r="O265" i="13"/>
  <c r="O262" i="13"/>
  <c r="N262" i="13"/>
  <c r="M262" i="13"/>
  <c r="P262" i="13" s="1"/>
  <c r="L262" i="13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N227" i="13" s="1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J226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M186" i="13"/>
  <c r="M184" i="13" s="1"/>
  <c r="L186" i="13"/>
  <c r="P185" i="13"/>
  <c r="O185" i="13"/>
  <c r="O182" i="13"/>
  <c r="N182" i="13"/>
  <c r="M182" i="13"/>
  <c r="L182" i="13"/>
  <c r="J180" i="13"/>
  <c r="J177" i="13"/>
  <c r="I176" i="13"/>
  <c r="J174" i="13"/>
  <c r="N173" i="13"/>
  <c r="N171" i="13" s="1"/>
  <c r="M173" i="13"/>
  <c r="L173" i="13"/>
  <c r="O173" i="13" s="1"/>
  <c r="P172" i="13"/>
  <c r="O172" i="13"/>
  <c r="N170" i="13"/>
  <c r="M170" i="13"/>
  <c r="M168" i="13" s="1"/>
  <c r="L170" i="13"/>
  <c r="P169" i="13"/>
  <c r="O169" i="13"/>
  <c r="O166" i="13"/>
  <c r="N166" i="13"/>
  <c r="M166" i="13"/>
  <c r="L166" i="13"/>
  <c r="J164" i="13"/>
  <c r="I159" i="13"/>
  <c r="K159" i="13" s="1"/>
  <c r="N157" i="13"/>
  <c r="N155" i="13" s="1"/>
  <c r="M157" i="13"/>
  <c r="M155" i="13" s="1"/>
  <c r="P155" i="13" s="1"/>
  <c r="L157" i="13"/>
  <c r="L155" i="13" s="1"/>
  <c r="O155" i="13" s="1"/>
  <c r="P156" i="13"/>
  <c r="O156" i="13"/>
  <c r="N154" i="13"/>
  <c r="M154" i="13"/>
  <c r="M152" i="13" s="1"/>
  <c r="L154" i="13"/>
  <c r="P153" i="13"/>
  <c r="O153" i="13"/>
  <c r="N150" i="13"/>
  <c r="M150" i="13"/>
  <c r="L150" i="13"/>
  <c r="J148" i="13"/>
  <c r="I146" i="13"/>
  <c r="I145" i="13"/>
  <c r="I144" i="13"/>
  <c r="K144" i="13" s="1"/>
  <c r="N140" i="13"/>
  <c r="N138" i="13" s="1"/>
  <c r="M140" i="13"/>
  <c r="L140" i="13"/>
  <c r="P139" i="13"/>
  <c r="O139" i="13"/>
  <c r="N137" i="13"/>
  <c r="N135" i="13" s="1"/>
  <c r="M137" i="13"/>
  <c r="M135" i="13" s="1"/>
  <c r="P135" i="13" s="1"/>
  <c r="L137" i="13"/>
  <c r="L135" i="13" s="1"/>
  <c r="O135" i="13" s="1"/>
  <c r="P136" i="13"/>
  <c r="O136" i="13"/>
  <c r="P133" i="13"/>
  <c r="N133" i="13"/>
  <c r="M133" i="13"/>
  <c r="L133" i="13"/>
  <c r="J130" i="13"/>
  <c r="N127" i="13"/>
  <c r="N125" i="13" s="1"/>
  <c r="M127" i="13"/>
  <c r="M125" i="13" s="1"/>
  <c r="P125" i="13" s="1"/>
  <c r="L127" i="13"/>
  <c r="L125" i="13" s="1"/>
  <c r="O125" i="13" s="1"/>
  <c r="P126" i="13"/>
  <c r="O126" i="13"/>
  <c r="N124" i="13"/>
  <c r="N122" i="13" s="1"/>
  <c r="M124" i="13"/>
  <c r="L124" i="13"/>
  <c r="P123" i="13"/>
  <c r="O123" i="13"/>
  <c r="O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K99" i="13" s="1"/>
  <c r="J98" i="13"/>
  <c r="J86" i="13" s="1"/>
  <c r="I98" i="13"/>
  <c r="K98" i="13" s="1"/>
  <c r="N96" i="13"/>
  <c r="N94" i="13" s="1"/>
  <c r="M96" i="13"/>
  <c r="L96" i="13"/>
  <c r="O96" i="13" s="1"/>
  <c r="P95" i="13"/>
  <c r="O95" i="13"/>
  <c r="N93" i="13"/>
  <c r="N91" i="13" s="1"/>
  <c r="M93" i="13"/>
  <c r="M91" i="13" s="1"/>
  <c r="L93" i="13"/>
  <c r="P92" i="13"/>
  <c r="O92" i="13"/>
  <c r="P89" i="13"/>
  <c r="O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65" i="13" s="1"/>
  <c r="J76" i="13"/>
  <c r="N74" i="13"/>
  <c r="N72" i="13" s="1"/>
  <c r="M74" i="13"/>
  <c r="M72" i="13" s="1"/>
  <c r="P72" i="13" s="1"/>
  <c r="L74" i="13"/>
  <c r="O74" i="13" s="1"/>
  <c r="P73" i="13"/>
  <c r="O73" i="13"/>
  <c r="N71" i="13"/>
  <c r="M71" i="13"/>
  <c r="M69" i="13" s="1"/>
  <c r="P69" i="13" s="1"/>
  <c r="L71" i="13"/>
  <c r="O71" i="13" s="1"/>
  <c r="P70" i="13"/>
  <c r="O70" i="13"/>
  <c r="P67" i="13"/>
  <c r="O67" i="13"/>
  <c r="N67" i="13"/>
  <c r="M67" i="13"/>
  <c r="L67" i="13"/>
  <c r="J64" i="13"/>
  <c r="N61" i="13"/>
  <c r="M61" i="13"/>
  <c r="P61" i="13" s="1"/>
  <c r="L61" i="13"/>
  <c r="P60" i="13"/>
  <c r="O60" i="13"/>
  <c r="N58" i="13"/>
  <c r="N56" i="13" s="1"/>
  <c r="M58" i="13"/>
  <c r="M56" i="13" s="1"/>
  <c r="L58" i="13"/>
  <c r="P57" i="13"/>
  <c r="O57" i="13"/>
  <c r="N54" i="13"/>
  <c r="M54" i="13"/>
  <c r="L54" i="13"/>
  <c r="O54" i="13" s="1"/>
  <c r="N49" i="13"/>
  <c r="N47" i="13" s="1"/>
  <c r="M49" i="13"/>
  <c r="M47" i="13" s="1"/>
  <c r="P47" i="13" s="1"/>
  <c r="L49" i="13"/>
  <c r="O49" i="13" s="1"/>
  <c r="P48" i="13"/>
  <c r="O48" i="13"/>
  <c r="N46" i="13"/>
  <c r="M46" i="13"/>
  <c r="M44" i="13" s="1"/>
  <c r="L46" i="13"/>
  <c r="L44" i="13" s="1"/>
  <c r="P45" i="13"/>
  <c r="O45" i="13"/>
  <c r="P42" i="13"/>
  <c r="O42" i="13"/>
  <c r="N42" i="13"/>
  <c r="M42" i="13"/>
  <c r="L42" i="13"/>
  <c r="N36" i="13"/>
  <c r="M36" i="13"/>
  <c r="P36" i="13" s="1"/>
  <c r="P35" i="13"/>
  <c r="N35" i="13"/>
  <c r="N34" i="13" s="1"/>
  <c r="M35" i="13"/>
  <c r="L35" i="13"/>
  <c r="P33" i="13"/>
  <c r="N33" i="13"/>
  <c r="N30" i="13" s="1"/>
  <c r="M33" i="13"/>
  <c r="O32" i="13"/>
  <c r="N32" i="13"/>
  <c r="N31" i="13" s="1"/>
  <c r="M32" i="13"/>
  <c r="P32" i="13" s="1"/>
  <c r="L32" i="13"/>
  <c r="M30" i="13"/>
  <c r="P30" i="13" s="1"/>
  <c r="N29" i="13"/>
  <c r="M29" i="13"/>
  <c r="P29" i="13" s="1"/>
  <c r="M28" i="13"/>
  <c r="P28" i="13" s="1"/>
  <c r="P25" i="13"/>
  <c r="O25" i="13"/>
  <c r="N25" i="13"/>
  <c r="M25" i="13"/>
  <c r="L25" i="13"/>
  <c r="N22" i="13"/>
  <c r="N19" i="13" s="1"/>
  <c r="M22" i="13"/>
  <c r="P22" i="13" s="1"/>
  <c r="L22" i="13"/>
  <c r="N15" i="13"/>
  <c r="M15" i="13"/>
  <c r="P15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N805" i="12" s="1"/>
  <c r="P809" i="12"/>
  <c r="O809" i="12"/>
  <c r="N808" i="12"/>
  <c r="M808" i="12"/>
  <c r="P808" i="12" s="1"/>
  <c r="L808" i="12"/>
  <c r="O808" i="12" s="1"/>
  <c r="M807" i="12"/>
  <c r="L807" i="12"/>
  <c r="O807" i="12" s="1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L789" i="12" s="1"/>
  <c r="O789" i="12" s="1"/>
  <c r="P790" i="12"/>
  <c r="O790" i="12"/>
  <c r="N789" i="12"/>
  <c r="M789" i="12"/>
  <c r="P789" i="12" s="1"/>
  <c r="M788" i="12"/>
  <c r="L788" i="12"/>
  <c r="O788" i="12" s="1"/>
  <c r="P787" i="12"/>
  <c r="N787" i="12"/>
  <c r="M787" i="12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P774" i="12"/>
  <c r="O774" i="12"/>
  <c r="O773" i="12"/>
  <c r="N773" i="12"/>
  <c r="M773" i="12"/>
  <c r="P773" i="12" s="1"/>
  <c r="L773" i="12"/>
  <c r="N772" i="12"/>
  <c r="N770" i="12" s="1"/>
  <c r="M772" i="12"/>
  <c r="P772" i="12" s="1"/>
  <c r="L772" i="12"/>
  <c r="O772" i="12" s="1"/>
  <c r="N771" i="12"/>
  <c r="M771" i="12"/>
  <c r="L771" i="12"/>
  <c r="O771" i="12" s="1"/>
  <c r="L770" i="12"/>
  <c r="O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P758" i="12"/>
  <c r="O758" i="12"/>
  <c r="O757" i="12"/>
  <c r="N757" i="12"/>
  <c r="M757" i="12"/>
  <c r="P757" i="12" s="1"/>
  <c r="L757" i="12"/>
  <c r="N756" i="12"/>
  <c r="N754" i="12" s="1"/>
  <c r="M756" i="12"/>
  <c r="P756" i="12" s="1"/>
  <c r="L756" i="12"/>
  <c r="O756" i="12" s="1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P741" i="12"/>
  <c r="O741" i="12"/>
  <c r="O740" i="12"/>
  <c r="N740" i="12"/>
  <c r="M740" i="12"/>
  <c r="P740" i="12" s="1"/>
  <c r="L740" i="12"/>
  <c r="N739" i="12"/>
  <c r="N737" i="12" s="1"/>
  <c r="M739" i="12"/>
  <c r="P739" i="12" s="1"/>
  <c r="L739" i="12"/>
  <c r="O739" i="12" s="1"/>
  <c r="N738" i="12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P690" i="12"/>
  <c r="N690" i="12"/>
  <c r="N687" i="12" s="1"/>
  <c r="L690" i="12"/>
  <c r="O690" i="12" s="1"/>
  <c r="N688" i="12"/>
  <c r="M688" i="12"/>
  <c r="P688" i="12" s="1"/>
  <c r="M687" i="12"/>
  <c r="P686" i="12"/>
  <c r="N686" i="12"/>
  <c r="N685" i="12" s="1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J654" i="12" s="1"/>
  <c r="I669" i="12"/>
  <c r="K675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L658" i="12" s="1"/>
  <c r="O658" i="12" s="1"/>
  <c r="P659" i="12"/>
  <c r="O659" i="12"/>
  <c r="P658" i="12"/>
  <c r="N658" i="12"/>
  <c r="M658" i="12"/>
  <c r="P657" i="12"/>
  <c r="N657" i="12"/>
  <c r="M657" i="12"/>
  <c r="O656" i="12"/>
  <c r="N656" i="12"/>
  <c r="M656" i="12"/>
  <c r="P656" i="12" s="1"/>
  <c r="L656" i="12"/>
  <c r="N655" i="12"/>
  <c r="M655" i="12"/>
  <c r="P655" i="12" s="1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P634" i="12"/>
  <c r="N634" i="12"/>
  <c r="L634" i="12"/>
  <c r="P633" i="12"/>
  <c r="O633" i="12"/>
  <c r="N632" i="12"/>
  <c r="M632" i="12"/>
  <c r="P632" i="12" s="1"/>
  <c r="P631" i="12"/>
  <c r="N631" i="12"/>
  <c r="M631" i="12"/>
  <c r="P630" i="12"/>
  <c r="O630" i="12"/>
  <c r="N630" i="12"/>
  <c r="M630" i="12"/>
  <c r="L630" i="12"/>
  <c r="P629" i="12"/>
  <c r="N629" i="12"/>
  <c r="M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4" i="12"/>
  <c r="I594" i="12"/>
  <c r="K594" i="12" s="1"/>
  <c r="J593" i="12"/>
  <c r="I593" i="12"/>
  <c r="J592" i="12"/>
  <c r="J583" i="12"/>
  <c r="J582" i="12"/>
  <c r="J577" i="12"/>
  <c r="I577" i="12"/>
  <c r="J576" i="12"/>
  <c r="I576" i="12"/>
  <c r="K576" i="12" s="1"/>
  <c r="J569" i="12"/>
  <c r="I569" i="12"/>
  <c r="K569" i="12" s="1"/>
  <c r="J568" i="12"/>
  <c r="I568" i="12"/>
  <c r="K568" i="12" s="1"/>
  <c r="J561" i="12"/>
  <c r="I561" i="12"/>
  <c r="J560" i="12"/>
  <c r="I560" i="12"/>
  <c r="K560" i="12" s="1"/>
  <c r="J559" i="12"/>
  <c r="J543" i="12" s="1"/>
  <c r="P557" i="12"/>
  <c r="L557" i="12"/>
  <c r="P556" i="12"/>
  <c r="O556" i="12"/>
  <c r="P555" i="12"/>
  <c r="N555" i="12"/>
  <c r="M555" i="12"/>
  <c r="P549" i="12"/>
  <c r="N549" i="12"/>
  <c r="L549" i="12"/>
  <c r="L547" i="12" s="1"/>
  <c r="O547" i="12" s="1"/>
  <c r="P548" i="12"/>
  <c r="O548" i="12"/>
  <c r="P547" i="12"/>
  <c r="N547" i="12"/>
  <c r="M547" i="12"/>
  <c r="N546" i="12"/>
  <c r="M546" i="12"/>
  <c r="P546" i="12" s="1"/>
  <c r="N545" i="12"/>
  <c r="N544" i="12" s="1"/>
  <c r="M545" i="12"/>
  <c r="P545" i="12" s="1"/>
  <c r="L545" i="12"/>
  <c r="O545" i="12" s="1"/>
  <c r="M544" i="12"/>
  <c r="P544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L533" i="12" s="1"/>
  <c r="O533" i="12" s="1"/>
  <c r="P534" i="12"/>
  <c r="O534" i="12"/>
  <c r="N533" i="12"/>
  <c r="M533" i="12"/>
  <c r="P533" i="12" s="1"/>
  <c r="P528" i="12"/>
  <c r="N528" i="12"/>
  <c r="N525" i="12" s="1"/>
  <c r="N523" i="12" s="1"/>
  <c r="L528" i="12"/>
  <c r="L526" i="12" s="1"/>
  <c r="O526" i="12" s="1"/>
  <c r="P527" i="12"/>
  <c r="O527" i="12"/>
  <c r="N526" i="12"/>
  <c r="M526" i="12"/>
  <c r="P526" i="12" s="1"/>
  <c r="M525" i="12"/>
  <c r="P524" i="12"/>
  <c r="N524" i="12"/>
  <c r="M524" i="12"/>
  <c r="L524" i="12"/>
  <c r="K517" i="12"/>
  <c r="J517" i="12"/>
  <c r="J501" i="12" s="1"/>
  <c r="K516" i="12"/>
  <c r="P514" i="12"/>
  <c r="O514" i="12"/>
  <c r="P513" i="12"/>
  <c r="O513" i="12"/>
  <c r="N512" i="12"/>
  <c r="M512" i="12"/>
  <c r="P512" i="12" s="1"/>
  <c r="L512" i="12"/>
  <c r="O512" i="12" s="1"/>
  <c r="P507" i="12"/>
  <c r="O507" i="12"/>
  <c r="N507" i="12"/>
  <c r="P506" i="12"/>
  <c r="O506" i="12"/>
  <c r="P505" i="12"/>
  <c r="N505" i="12"/>
  <c r="M505" i="12"/>
  <c r="L505" i="12"/>
  <c r="O505" i="12" s="1"/>
  <c r="P504" i="12"/>
  <c r="O504" i="12"/>
  <c r="N504" i="12"/>
  <c r="M504" i="12"/>
  <c r="L504" i="12"/>
  <c r="P503" i="12"/>
  <c r="O503" i="12"/>
  <c r="N503" i="12"/>
  <c r="M503" i="12"/>
  <c r="L503" i="12"/>
  <c r="O502" i="12"/>
  <c r="N502" i="12"/>
  <c r="M502" i="12"/>
  <c r="P502" i="12" s="1"/>
  <c r="L502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P472" i="12"/>
  <c r="N472" i="12"/>
  <c r="L472" i="12"/>
  <c r="L470" i="12" s="1"/>
  <c r="O470" i="12" s="1"/>
  <c r="P471" i="12"/>
  <c r="O471" i="12"/>
  <c r="P470" i="12"/>
  <c r="N470" i="12"/>
  <c r="M470" i="12"/>
  <c r="P469" i="12"/>
  <c r="N469" i="12"/>
  <c r="M469" i="12"/>
  <c r="P468" i="12"/>
  <c r="O468" i="12"/>
  <c r="N468" i="12"/>
  <c r="M468" i="12"/>
  <c r="L468" i="12"/>
  <c r="N467" i="12"/>
  <c r="M467" i="12"/>
  <c r="P467" i="12" s="1"/>
  <c r="J466" i="12"/>
  <c r="I466" i="12"/>
  <c r="K466" i="12" s="1"/>
  <c r="J465" i="12"/>
  <c r="I465" i="12"/>
  <c r="I464" i="12"/>
  <c r="I463" i="12"/>
  <c r="I462" i="12"/>
  <c r="K462" i="12" s="1"/>
  <c r="I460" i="12"/>
  <c r="K460" i="12" s="1"/>
  <c r="K458" i="12"/>
  <c r="P456" i="12"/>
  <c r="L456" i="12"/>
  <c r="P455" i="12"/>
  <c r="O455" i="12"/>
  <c r="N454" i="12"/>
  <c r="M454" i="12"/>
  <c r="P454" i="12" s="1"/>
  <c r="P449" i="12"/>
  <c r="N449" i="12"/>
  <c r="L449" i="12"/>
  <c r="P448" i="12"/>
  <c r="O448" i="12"/>
  <c r="N447" i="12"/>
  <c r="M447" i="12"/>
  <c r="P447" i="12" s="1"/>
  <c r="P446" i="12"/>
  <c r="N446" i="12"/>
  <c r="M446" i="12"/>
  <c r="P445" i="12"/>
  <c r="O445" i="12"/>
  <c r="N445" i="12"/>
  <c r="M445" i="12"/>
  <c r="L445" i="12"/>
  <c r="P444" i="12"/>
  <c r="N444" i="12"/>
  <c r="M444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K435" i="12" s="1"/>
  <c r="J434" i="12"/>
  <c r="P431" i="12"/>
  <c r="L431" i="12"/>
  <c r="O431" i="12" s="1"/>
  <c r="P430" i="12"/>
  <c r="O430" i="12"/>
  <c r="N429" i="12"/>
  <c r="M429" i="12"/>
  <c r="P429" i="12" s="1"/>
  <c r="P424" i="12"/>
  <c r="N424" i="12"/>
  <c r="L424" i="12"/>
  <c r="O424" i="12" s="1"/>
  <c r="P423" i="12"/>
  <c r="O423" i="12"/>
  <c r="N422" i="12"/>
  <c r="M422" i="12"/>
  <c r="P422" i="12" s="1"/>
  <c r="P421" i="12"/>
  <c r="N421" i="12"/>
  <c r="M421" i="12"/>
  <c r="P420" i="12"/>
  <c r="O420" i="12"/>
  <c r="N420" i="12"/>
  <c r="M420" i="12"/>
  <c r="L420" i="12"/>
  <c r="P419" i="12"/>
  <c r="N419" i="12"/>
  <c r="M419" i="12"/>
  <c r="J418" i="12"/>
  <c r="N414" i="12"/>
  <c r="K413" i="12"/>
  <c r="K412" i="12"/>
  <c r="N410" i="12"/>
  <c r="N408" i="12" s="1"/>
  <c r="M410" i="12"/>
  <c r="P410" i="12" s="1"/>
  <c r="L410" i="12"/>
  <c r="P409" i="12"/>
  <c r="O409" i="12"/>
  <c r="N407" i="12"/>
  <c r="M407" i="12"/>
  <c r="M405" i="12" s="1"/>
  <c r="P405" i="12" s="1"/>
  <c r="L407" i="12"/>
  <c r="P406" i="12"/>
  <c r="O406" i="12"/>
  <c r="O403" i="12"/>
  <c r="N403" i="12"/>
  <c r="M403" i="12"/>
  <c r="P403" i="12" s="1"/>
  <c r="L403" i="12"/>
  <c r="K401" i="12"/>
  <c r="J401" i="12"/>
  <c r="I401" i="12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N392" i="12" s="1"/>
  <c r="M394" i="12"/>
  <c r="M392" i="12" s="1"/>
  <c r="P392" i="12" s="1"/>
  <c r="L394" i="12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L351" i="12" s="1"/>
  <c r="P352" i="12"/>
  <c r="O352" i="12"/>
  <c r="N350" i="12"/>
  <c r="N348" i="12" s="1"/>
  <c r="M350" i="12"/>
  <c r="L350" i="12"/>
  <c r="L348" i="12" s="1"/>
  <c r="P349" i="12"/>
  <c r="O349" i="12"/>
  <c r="O346" i="12"/>
  <c r="N346" i="12"/>
  <c r="M346" i="12"/>
  <c r="P346" i="12" s="1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N331" i="12" s="1"/>
  <c r="M333" i="12"/>
  <c r="M331" i="12" s="1"/>
  <c r="L333" i="12"/>
  <c r="P332" i="12"/>
  <c r="O332" i="12"/>
  <c r="P329" i="12"/>
  <c r="O329" i="12"/>
  <c r="N329" i="12"/>
  <c r="M329" i="12"/>
  <c r="L329" i="12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M318" i="12" s="1"/>
  <c r="P318" i="12" s="1"/>
  <c r="L320" i="12"/>
  <c r="O320" i="12" s="1"/>
  <c r="P319" i="12"/>
  <c r="O319" i="12"/>
  <c r="P316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M306" i="12"/>
  <c r="P306" i="12" s="1"/>
  <c r="L306" i="12"/>
  <c r="P305" i="12"/>
  <c r="O305" i="12"/>
  <c r="N303" i="12"/>
  <c r="N301" i="12" s="1"/>
  <c r="M303" i="12"/>
  <c r="L303" i="12"/>
  <c r="L301" i="12" s="1"/>
  <c r="P302" i="12"/>
  <c r="O302" i="12"/>
  <c r="N299" i="12"/>
  <c r="M299" i="12"/>
  <c r="P299" i="12" s="1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N285" i="12"/>
  <c r="N283" i="12" s="1"/>
  <c r="M285" i="12"/>
  <c r="P285" i="12" s="1"/>
  <c r="L285" i="12"/>
  <c r="L283" i="12" s="1"/>
  <c r="O283" i="12" s="1"/>
  <c r="P284" i="12"/>
  <c r="O284" i="12"/>
  <c r="N282" i="12"/>
  <c r="M282" i="12"/>
  <c r="M280" i="12" s="1"/>
  <c r="L282" i="12"/>
  <c r="L280" i="12" s="1"/>
  <c r="P281" i="12"/>
  <c r="O281" i="12"/>
  <c r="O278" i="12"/>
  <c r="N278" i="12"/>
  <c r="M278" i="12"/>
  <c r="L278" i="12"/>
  <c r="J276" i="12"/>
  <c r="I271" i="12"/>
  <c r="K271" i="12" s="1"/>
  <c r="N269" i="12"/>
  <c r="N267" i="12" s="1"/>
  <c r="M269" i="12"/>
  <c r="L269" i="12"/>
  <c r="O269" i="12" s="1"/>
  <c r="P268" i="12"/>
  <c r="O268" i="12"/>
  <c r="N266" i="12"/>
  <c r="M266" i="12"/>
  <c r="L266" i="12"/>
  <c r="P265" i="12"/>
  <c r="O265" i="12"/>
  <c r="P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J237" i="12"/>
  <c r="J226" i="12" s="1"/>
  <c r="J180" i="12" s="1"/>
  <c r="K236" i="12"/>
  <c r="J236" i="12"/>
  <c r="I236" i="12"/>
  <c r="K235" i="12"/>
  <c r="J235" i="12"/>
  <c r="I235" i="12"/>
  <c r="J233" i="12"/>
  <c r="N231" i="12"/>
  <c r="N230" i="12"/>
  <c r="N229" i="12"/>
  <c r="N228" i="12"/>
  <c r="N227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L187" i="12" s="1"/>
  <c r="O187" i="12" s="1"/>
  <c r="P188" i="12"/>
  <c r="O188" i="12"/>
  <c r="N186" i="12"/>
  <c r="M186" i="12"/>
  <c r="L186" i="12"/>
  <c r="L184" i="12" s="1"/>
  <c r="P185" i="12"/>
  <c r="O185" i="12"/>
  <c r="P182" i="12"/>
  <c r="N182" i="12"/>
  <c r="M182" i="12"/>
  <c r="L182" i="12"/>
  <c r="O182" i="12" s="1"/>
  <c r="J177" i="12"/>
  <c r="J164" i="12" s="1"/>
  <c r="I176" i="12"/>
  <c r="K176" i="12" s="1"/>
  <c r="J174" i="12"/>
  <c r="N173" i="12"/>
  <c r="N171" i="12" s="1"/>
  <c r="M173" i="12"/>
  <c r="P173" i="12" s="1"/>
  <c r="L173" i="12"/>
  <c r="L171" i="12" s="1"/>
  <c r="O171" i="12" s="1"/>
  <c r="P172" i="12"/>
  <c r="O172" i="12"/>
  <c r="N170" i="12"/>
  <c r="N168" i="12" s="1"/>
  <c r="M170" i="12"/>
  <c r="L170" i="12"/>
  <c r="L168" i="12" s="1"/>
  <c r="P169" i="12"/>
  <c r="O169" i="12"/>
  <c r="P166" i="12"/>
  <c r="N166" i="12"/>
  <c r="M166" i="12"/>
  <c r="L166" i="12"/>
  <c r="O166" i="12" s="1"/>
  <c r="I159" i="12"/>
  <c r="K159" i="12" s="1"/>
  <c r="N157" i="12"/>
  <c r="N155" i="12" s="1"/>
  <c r="M157" i="12"/>
  <c r="L157" i="12"/>
  <c r="L155" i="12" s="1"/>
  <c r="O155" i="12" s="1"/>
  <c r="P156" i="12"/>
  <c r="O156" i="12"/>
  <c r="N154" i="12"/>
  <c r="M154" i="12"/>
  <c r="L154" i="12"/>
  <c r="O154" i="12" s="1"/>
  <c r="P153" i="12"/>
  <c r="O153" i="12"/>
  <c r="P150" i="12"/>
  <c r="N150" i="12"/>
  <c r="M150" i="12"/>
  <c r="L150" i="12"/>
  <c r="J148" i="12"/>
  <c r="I146" i="12"/>
  <c r="K146" i="12" s="1"/>
  <c r="I145" i="12"/>
  <c r="I144" i="12"/>
  <c r="N140" i="12"/>
  <c r="N138" i="12" s="1"/>
  <c r="M140" i="12"/>
  <c r="L140" i="12"/>
  <c r="P139" i="12"/>
  <c r="O139" i="12"/>
  <c r="N137" i="12"/>
  <c r="N135" i="12" s="1"/>
  <c r="M137" i="12"/>
  <c r="L137" i="12"/>
  <c r="P136" i="12"/>
  <c r="O136" i="12"/>
  <c r="O133" i="12"/>
  <c r="N133" i="12"/>
  <c r="M133" i="12"/>
  <c r="L133" i="12"/>
  <c r="J130" i="12"/>
  <c r="N127" i="12"/>
  <c r="N125" i="12" s="1"/>
  <c r="M127" i="12"/>
  <c r="L127" i="12"/>
  <c r="O127" i="12" s="1"/>
  <c r="P126" i="12"/>
  <c r="O126" i="12"/>
  <c r="N124" i="12"/>
  <c r="N122" i="12" s="1"/>
  <c r="M124" i="12"/>
  <c r="L124" i="12"/>
  <c r="P123" i="12"/>
  <c r="O123" i="12"/>
  <c r="P120" i="12"/>
  <c r="N120" i="12"/>
  <c r="M120" i="12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I87" i="12" s="1"/>
  <c r="K87" i="12" s="1"/>
  <c r="J98" i="12"/>
  <c r="I98" i="12"/>
  <c r="I86" i="12" s="1"/>
  <c r="K86" i="12" s="1"/>
  <c r="N96" i="12"/>
  <c r="N94" i="12" s="1"/>
  <c r="M96" i="12"/>
  <c r="L96" i="12"/>
  <c r="L94" i="12" s="1"/>
  <c r="O94" i="12" s="1"/>
  <c r="P95" i="12"/>
  <c r="O95" i="12"/>
  <c r="N93" i="12"/>
  <c r="M93" i="12"/>
  <c r="L93" i="12"/>
  <c r="P92" i="12"/>
  <c r="O92" i="12"/>
  <c r="N89" i="12"/>
  <c r="M89" i="12"/>
  <c r="P89" i="12" s="1"/>
  <c r="L89" i="12"/>
  <c r="O89" i="12" s="1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K78" i="12" s="1"/>
  <c r="J77" i="12"/>
  <c r="J76" i="12"/>
  <c r="J64" i="12" s="1"/>
  <c r="N74" i="12"/>
  <c r="N72" i="12" s="1"/>
  <c r="M74" i="12"/>
  <c r="L74" i="12"/>
  <c r="P73" i="12"/>
  <c r="O73" i="12"/>
  <c r="N71" i="12"/>
  <c r="M71" i="12"/>
  <c r="P71" i="12" s="1"/>
  <c r="L71" i="12"/>
  <c r="P70" i="12"/>
  <c r="O70" i="12"/>
  <c r="N67" i="12"/>
  <c r="M67" i="12"/>
  <c r="L67" i="12"/>
  <c r="O67" i="12" s="1"/>
  <c r="J65" i="12"/>
  <c r="N61" i="12"/>
  <c r="M61" i="12"/>
  <c r="M59" i="12" s="1"/>
  <c r="L61" i="12"/>
  <c r="L59" i="12" s="1"/>
  <c r="P60" i="12"/>
  <c r="O60" i="12"/>
  <c r="N58" i="12"/>
  <c r="N56" i="12" s="1"/>
  <c r="M58" i="12"/>
  <c r="M56" i="12" s="1"/>
  <c r="L58" i="12"/>
  <c r="P57" i="12"/>
  <c r="O57" i="12"/>
  <c r="P54" i="12"/>
  <c r="O54" i="12"/>
  <c r="N54" i="12"/>
  <c r="M54" i="12"/>
  <c r="L54" i="12"/>
  <c r="N49" i="12"/>
  <c r="M49" i="12"/>
  <c r="P49" i="12" s="1"/>
  <c r="L49" i="12"/>
  <c r="P48" i="12"/>
  <c r="O48" i="12"/>
  <c r="N46" i="12"/>
  <c r="N44" i="12" s="1"/>
  <c r="M46" i="12"/>
  <c r="M44" i="12" s="1"/>
  <c r="L46" i="12"/>
  <c r="P45" i="12"/>
  <c r="O45" i="12"/>
  <c r="N42" i="12"/>
  <c r="M42" i="12"/>
  <c r="P42" i="12" s="1"/>
  <c r="L42" i="12"/>
  <c r="O42" i="12" s="1"/>
  <c r="P36" i="12"/>
  <c r="N36" i="12"/>
  <c r="M36" i="12"/>
  <c r="P35" i="12"/>
  <c r="O35" i="12"/>
  <c r="N35" i="12"/>
  <c r="N34" i="12" s="1"/>
  <c r="M35" i="12"/>
  <c r="L35" i="12"/>
  <c r="M34" i="12"/>
  <c r="P34" i="12" s="1"/>
  <c r="N33" i="12"/>
  <c r="M33" i="12"/>
  <c r="N32" i="12"/>
  <c r="M32" i="12"/>
  <c r="M29" i="12" s="1"/>
  <c r="L32" i="12"/>
  <c r="N30" i="12"/>
  <c r="N29" i="12"/>
  <c r="N28" i="12" s="1"/>
  <c r="N25" i="12"/>
  <c r="M25" i="12"/>
  <c r="P25" i="12" s="1"/>
  <c r="L25" i="12"/>
  <c r="O22" i="12"/>
  <c r="N22" i="12"/>
  <c r="M22" i="12"/>
  <c r="L22" i="12"/>
  <c r="L19" i="12"/>
  <c r="O19" i="12" s="1"/>
  <c r="M15" i="12"/>
  <c r="P15" i="12" s="1"/>
  <c r="N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P796" i="11"/>
  <c r="N796" i="11"/>
  <c r="M796" i="11"/>
  <c r="L796" i="11"/>
  <c r="O796" i="11" s="1"/>
  <c r="P791" i="11"/>
  <c r="N791" i="11"/>
  <c r="L791" i="11"/>
  <c r="L789" i="11" s="1"/>
  <c r="O789" i="11" s="1"/>
  <c r="P790" i="11"/>
  <c r="O790" i="11"/>
  <c r="N789" i="11"/>
  <c r="M789" i="11"/>
  <c r="P789" i="11" s="1"/>
  <c r="P788" i="11"/>
  <c r="N788" i="11"/>
  <c r="M788" i="11"/>
  <c r="O787" i="11"/>
  <c r="N787" i="11"/>
  <c r="M787" i="11"/>
  <c r="M786" i="11" s="1"/>
  <c r="P786" i="11" s="1"/>
  <c r="L787" i="11"/>
  <c r="N786" i="1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P774" i="11"/>
  <c r="O774" i="11"/>
  <c r="P773" i="11"/>
  <c r="N773" i="11"/>
  <c r="M773" i="11"/>
  <c r="L773" i="11"/>
  <c r="O773" i="11" s="1"/>
  <c r="O772" i="11"/>
  <c r="N772" i="11"/>
  <c r="M772" i="11"/>
  <c r="P772" i="11" s="1"/>
  <c r="L772" i="11"/>
  <c r="P771" i="11"/>
  <c r="N771" i="11"/>
  <c r="N770" i="11" s="1"/>
  <c r="M771" i="11"/>
  <c r="L771" i="11"/>
  <c r="O771" i="11" s="1"/>
  <c r="O770" i="11"/>
  <c r="M770" i="11"/>
  <c r="P770" i="11" s="1"/>
  <c r="L770" i="1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P758" i="11"/>
  <c r="O758" i="11"/>
  <c r="P757" i="11"/>
  <c r="N757" i="11"/>
  <c r="M757" i="11"/>
  <c r="L757" i="11"/>
  <c r="O757" i="11" s="1"/>
  <c r="O756" i="11"/>
  <c r="N756" i="11"/>
  <c r="M756" i="11"/>
  <c r="P756" i="11" s="1"/>
  <c r="L756" i="11"/>
  <c r="P755" i="11"/>
  <c r="N755" i="11"/>
  <c r="N754" i="11" s="1"/>
  <c r="M755" i="11"/>
  <c r="L755" i="11"/>
  <c r="O755" i="11" s="1"/>
  <c r="M754" i="11"/>
  <c r="P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P741" i="11"/>
  <c r="O741" i="11"/>
  <c r="P740" i="11"/>
  <c r="N740" i="11"/>
  <c r="M740" i="11"/>
  <c r="L740" i="11"/>
  <c r="O740" i="11" s="1"/>
  <c r="O739" i="11"/>
  <c r="N739" i="11"/>
  <c r="M739" i="11"/>
  <c r="P739" i="11" s="1"/>
  <c r="L739" i="11"/>
  <c r="P738" i="11"/>
  <c r="N738" i="11"/>
  <c r="N737" i="11" s="1"/>
  <c r="M738" i="11"/>
  <c r="L738" i="11"/>
  <c r="O738" i="11" s="1"/>
  <c r="O737" i="11"/>
  <c r="M737" i="11"/>
  <c r="P737" i="11" s="1"/>
  <c r="L737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P695" i="11"/>
  <c r="N695" i="11"/>
  <c r="M695" i="11"/>
  <c r="L695" i="11"/>
  <c r="O695" i="11" s="1"/>
  <c r="P690" i="11"/>
  <c r="N690" i="11"/>
  <c r="L690" i="11"/>
  <c r="N688" i="11"/>
  <c r="M688" i="11"/>
  <c r="P688" i="11" s="1"/>
  <c r="P687" i="11"/>
  <c r="N687" i="11"/>
  <c r="M687" i="11"/>
  <c r="O686" i="11"/>
  <c r="N686" i="11"/>
  <c r="M686" i="11"/>
  <c r="M685" i="11" s="1"/>
  <c r="P685" i="11" s="1"/>
  <c r="L686" i="11"/>
  <c r="N685" i="1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P667" i="11"/>
  <c r="O667" i="11"/>
  <c r="P666" i="11"/>
  <c r="O666" i="11"/>
  <c r="O665" i="11"/>
  <c r="N665" i="11"/>
  <c r="M665" i="11"/>
  <c r="P665" i="11" s="1"/>
  <c r="L665" i="11"/>
  <c r="P660" i="11"/>
  <c r="N660" i="11"/>
  <c r="N657" i="11" s="1"/>
  <c r="N655" i="11" s="1"/>
  <c r="L660" i="11"/>
  <c r="P659" i="11"/>
  <c r="O659" i="11"/>
  <c r="P658" i="11"/>
  <c r="N658" i="11"/>
  <c r="M658" i="11"/>
  <c r="L658" i="11"/>
  <c r="O658" i="11" s="1"/>
  <c r="M657" i="11"/>
  <c r="P656" i="11"/>
  <c r="N656" i="11"/>
  <c r="M656" i="11"/>
  <c r="L656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P634" i="11"/>
  <c r="N634" i="11"/>
  <c r="N631" i="11" s="1"/>
  <c r="L634" i="11"/>
  <c r="L632" i="11" s="1"/>
  <c r="O632" i="11" s="1"/>
  <c r="P633" i="11"/>
  <c r="O633" i="11"/>
  <c r="P632" i="11"/>
  <c r="N632" i="11"/>
  <c r="M632" i="11"/>
  <c r="M631" i="11"/>
  <c r="P631" i="11" s="1"/>
  <c r="P630" i="11"/>
  <c r="N630" i="11"/>
  <c r="N629" i="11" s="1"/>
  <c r="M630" i="11"/>
  <c r="L630" i="11"/>
  <c r="M629" i="11"/>
  <c r="P629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I593" i="11"/>
  <c r="I592" i="11" s="1"/>
  <c r="J583" i="11"/>
  <c r="J577" i="11" s="1"/>
  <c r="J582" i="11"/>
  <c r="I577" i="11"/>
  <c r="J576" i="11"/>
  <c r="I576" i="11"/>
  <c r="K576" i="11" s="1"/>
  <c r="J569" i="11"/>
  <c r="I569" i="11"/>
  <c r="J568" i="11"/>
  <c r="I568" i="11"/>
  <c r="J561" i="11"/>
  <c r="I561" i="11"/>
  <c r="K561" i="11" s="1"/>
  <c r="J560" i="11"/>
  <c r="I560" i="11"/>
  <c r="K560" i="11" s="1"/>
  <c r="J559" i="11"/>
  <c r="J543" i="11" s="1"/>
  <c r="P557" i="11"/>
  <c r="L557" i="11"/>
  <c r="O557" i="11" s="1"/>
  <c r="P556" i="11"/>
  <c r="O556" i="11"/>
  <c r="P555" i="11"/>
  <c r="N555" i="11"/>
  <c r="N545" i="11" s="1"/>
  <c r="N544" i="11" s="1"/>
  <c r="M555" i="11"/>
  <c r="P549" i="11"/>
  <c r="N549" i="11"/>
  <c r="L549" i="11"/>
  <c r="L547" i="11" s="1"/>
  <c r="O547" i="11" s="1"/>
  <c r="P548" i="11"/>
  <c r="O548" i="11"/>
  <c r="N547" i="11"/>
  <c r="M547" i="11"/>
  <c r="P547" i="11" s="1"/>
  <c r="P546" i="11"/>
  <c r="N546" i="11"/>
  <c r="M546" i="11"/>
  <c r="O545" i="11"/>
  <c r="M545" i="11"/>
  <c r="P545" i="11" s="1"/>
  <c r="L545" i="11"/>
  <c r="M544" i="11"/>
  <c r="P544" i="11" s="1"/>
  <c r="I542" i="11"/>
  <c r="K542" i="11" s="1"/>
  <c r="I541" i="11"/>
  <c r="K541" i="11" s="1"/>
  <c r="I540" i="11"/>
  <c r="K540" i="11" s="1"/>
  <c r="I539" i="11"/>
  <c r="I538" i="11"/>
  <c r="K538" i="11" s="1"/>
  <c r="I537" i="11"/>
  <c r="I522" i="11" s="1"/>
  <c r="K522" i="11" s="1"/>
  <c r="P535" i="11"/>
  <c r="L535" i="11"/>
  <c r="O535" i="11" s="1"/>
  <c r="P534" i="11"/>
  <c r="O534" i="11"/>
  <c r="P533" i="11"/>
  <c r="N533" i="11"/>
  <c r="M533" i="11"/>
  <c r="P528" i="11"/>
  <c r="N528" i="11"/>
  <c r="L528" i="11"/>
  <c r="L526" i="11" s="1"/>
  <c r="O526" i="11" s="1"/>
  <c r="P527" i="11"/>
  <c r="O527" i="11"/>
  <c r="N526" i="11"/>
  <c r="M526" i="11"/>
  <c r="P526" i="11" s="1"/>
  <c r="P525" i="11"/>
  <c r="N525" i="11"/>
  <c r="N523" i="11" s="1"/>
  <c r="M525" i="11"/>
  <c r="N524" i="11"/>
  <c r="M524" i="11"/>
  <c r="L524" i="11"/>
  <c r="O524" i="11" s="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N505" i="11" s="1"/>
  <c r="P506" i="11"/>
  <c r="O506" i="11"/>
  <c r="M505" i="11"/>
  <c r="P505" i="11" s="1"/>
  <c r="L505" i="11"/>
  <c r="O505" i="11" s="1"/>
  <c r="P504" i="11"/>
  <c r="M504" i="11"/>
  <c r="L504" i="11"/>
  <c r="O504" i="11" s="1"/>
  <c r="P503" i="11"/>
  <c r="O503" i="11"/>
  <c r="N503" i="11"/>
  <c r="M503" i="11"/>
  <c r="M502" i="11" s="1"/>
  <c r="P502" i="11" s="1"/>
  <c r="L503" i="11"/>
  <c r="O502" i="11"/>
  <c r="L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N477" i="11"/>
  <c r="M477" i="11"/>
  <c r="P477" i="11" s="1"/>
  <c r="P472" i="11"/>
  <c r="N472" i="11"/>
  <c r="L472" i="11"/>
  <c r="L470" i="11" s="1"/>
  <c r="P471" i="11"/>
  <c r="O471" i="11"/>
  <c r="M470" i="11"/>
  <c r="P470" i="11" s="1"/>
  <c r="P469" i="11"/>
  <c r="M469" i="11"/>
  <c r="P468" i="11"/>
  <c r="O468" i="11"/>
  <c r="N468" i="11"/>
  <c r="M468" i="11"/>
  <c r="L468" i="11"/>
  <c r="J466" i="11"/>
  <c r="I466" i="11"/>
  <c r="J465" i="11"/>
  <c r="I465" i="11"/>
  <c r="K465" i="11" s="1"/>
  <c r="I464" i="11"/>
  <c r="I463" i="11"/>
  <c r="I462" i="11"/>
  <c r="K462" i="11" s="1"/>
  <c r="I460" i="11"/>
  <c r="K458" i="11"/>
  <c r="P456" i="11"/>
  <c r="L456" i="11"/>
  <c r="L454" i="11" s="1"/>
  <c r="O454" i="11" s="1"/>
  <c r="P455" i="11"/>
  <c r="O455" i="11"/>
  <c r="P454" i="11"/>
  <c r="N454" i="11"/>
  <c r="M454" i="11"/>
  <c r="P449" i="11"/>
  <c r="N449" i="11"/>
  <c r="N446" i="11" s="1"/>
  <c r="L449" i="11"/>
  <c r="P448" i="11"/>
  <c r="O448" i="11"/>
  <c r="P447" i="11"/>
  <c r="N447" i="11"/>
  <c r="M447" i="11"/>
  <c r="M446" i="11"/>
  <c r="P445" i="11"/>
  <c r="N445" i="11"/>
  <c r="M445" i="11"/>
  <c r="L445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P430" i="11"/>
  <c r="O430" i="11"/>
  <c r="P429" i="11"/>
  <c r="N429" i="11"/>
  <c r="M429" i="11"/>
  <c r="P424" i="11"/>
  <c r="N424" i="11"/>
  <c r="N421" i="11" s="1"/>
  <c r="L424" i="11"/>
  <c r="L422" i="11" s="1"/>
  <c r="O422" i="11" s="1"/>
  <c r="P423" i="11"/>
  <c r="O423" i="11"/>
  <c r="P422" i="11"/>
  <c r="N422" i="11"/>
  <c r="M422" i="11"/>
  <c r="M421" i="11"/>
  <c r="P420" i="11"/>
  <c r="N420" i="11"/>
  <c r="M420" i="11"/>
  <c r="L420" i="1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N405" i="11" s="1"/>
  <c r="M407" i="11"/>
  <c r="L407" i="11"/>
  <c r="O407" i="11" s="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L395" i="11" s="1"/>
  <c r="O395" i="11" s="1"/>
  <c r="P396" i="11"/>
  <c r="O396" i="11"/>
  <c r="N394" i="11"/>
  <c r="N392" i="11" s="1"/>
  <c r="M394" i="11"/>
  <c r="P394" i="11" s="1"/>
  <c r="L394" i="11"/>
  <c r="P393" i="11"/>
  <c r="O393" i="11"/>
  <c r="N390" i="11"/>
  <c r="M390" i="11"/>
  <c r="L390" i="11"/>
  <c r="O390" i="11" s="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M351" i="11" s="1"/>
  <c r="L353" i="11"/>
  <c r="L351" i="11" s="1"/>
  <c r="P352" i="11"/>
  <c r="O352" i="11"/>
  <c r="N350" i="11"/>
  <c r="N348" i="11" s="1"/>
  <c r="M350" i="11"/>
  <c r="L350" i="11"/>
  <c r="P349" i="11"/>
  <c r="O349" i="11"/>
  <c r="P346" i="11"/>
  <c r="N346" i="11"/>
  <c r="M346" i="11"/>
  <c r="L346" i="11"/>
  <c r="J343" i="11"/>
  <c r="J342" i="11"/>
  <c r="J341" i="11"/>
  <c r="J340" i="11"/>
  <c r="I340" i="11"/>
  <c r="J338" i="11"/>
  <c r="I338" i="11"/>
  <c r="N336" i="11"/>
  <c r="M336" i="11"/>
  <c r="L336" i="11"/>
  <c r="L334" i="11" s="1"/>
  <c r="O334" i="11" s="1"/>
  <c r="P335" i="11"/>
  <c r="O335" i="11"/>
  <c r="N333" i="11"/>
  <c r="M333" i="11"/>
  <c r="L333" i="11"/>
  <c r="L331" i="11" s="1"/>
  <c r="P332" i="11"/>
  <c r="O332" i="11"/>
  <c r="N329" i="11"/>
  <c r="M329" i="11"/>
  <c r="L329" i="11"/>
  <c r="O329" i="11" s="1"/>
  <c r="I327" i="11"/>
  <c r="I325" i="11"/>
  <c r="K325" i="11" s="1"/>
  <c r="N323" i="11"/>
  <c r="N321" i="11" s="1"/>
  <c r="M323" i="11"/>
  <c r="M321" i="11" s="1"/>
  <c r="P321" i="11" s="1"/>
  <c r="L323" i="11"/>
  <c r="L321" i="11" s="1"/>
  <c r="O321" i="11" s="1"/>
  <c r="P322" i="11"/>
  <c r="O322" i="11"/>
  <c r="N320" i="11"/>
  <c r="N318" i="11" s="1"/>
  <c r="M320" i="11"/>
  <c r="M318" i="11" s="1"/>
  <c r="P318" i="11" s="1"/>
  <c r="L320" i="11"/>
  <c r="P319" i="11"/>
  <c r="O319" i="11"/>
  <c r="O316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L303" i="11"/>
  <c r="L301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M280" i="11" s="1"/>
  <c r="L282" i="11"/>
  <c r="L280" i="11" s="1"/>
  <c r="P281" i="11"/>
  <c r="O281" i="11"/>
  <c r="P278" i="11"/>
  <c r="N278" i="11"/>
  <c r="M278" i="11"/>
  <c r="L278" i="11"/>
  <c r="J276" i="11"/>
  <c r="I271" i="11"/>
  <c r="K271" i="11" s="1"/>
  <c r="N269" i="11"/>
  <c r="N267" i="11" s="1"/>
  <c r="M269" i="11"/>
  <c r="P269" i="11" s="1"/>
  <c r="L269" i="11"/>
  <c r="O269" i="11" s="1"/>
  <c r="P268" i="11"/>
  <c r="O268" i="11"/>
  <c r="N266" i="11"/>
  <c r="N264" i="11" s="1"/>
  <c r="M266" i="11"/>
  <c r="L266" i="11"/>
  <c r="L264" i="11" s="1"/>
  <c r="P265" i="11"/>
  <c r="O265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J235" i="11"/>
  <c r="I235" i="11"/>
  <c r="K235" i="11" s="1"/>
  <c r="J233" i="11"/>
  <c r="N231" i="11"/>
  <c r="N230" i="11"/>
  <c r="N229" i="11"/>
  <c r="N228" i="11"/>
  <c r="N227" i="11"/>
  <c r="I225" i="11"/>
  <c r="K225" i="11" s="1"/>
  <c r="I224" i="11"/>
  <c r="I216" i="11" s="1"/>
  <c r="I223" i="11"/>
  <c r="K223" i="11" s="1"/>
  <c r="L220" i="11"/>
  <c r="L219" i="11"/>
  <c r="L218" i="11"/>
  <c r="P217" i="11"/>
  <c r="N217" i="11"/>
  <c r="J216" i="11"/>
  <c r="I215" i="11"/>
  <c r="I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I190" i="11" s="1"/>
  <c r="K190" i="11" s="1"/>
  <c r="P191" i="11"/>
  <c r="L191" i="11"/>
  <c r="O191" i="11" s="1"/>
  <c r="J190" i="11"/>
  <c r="N189" i="11"/>
  <c r="N187" i="11" s="1"/>
  <c r="M189" i="11"/>
  <c r="P189" i="11" s="1"/>
  <c r="L189" i="11"/>
  <c r="L187" i="11" s="1"/>
  <c r="O187" i="11" s="1"/>
  <c r="P188" i="11"/>
  <c r="O188" i="11"/>
  <c r="N186" i="11"/>
  <c r="N184" i="11" s="1"/>
  <c r="M186" i="11"/>
  <c r="M184" i="11" s="1"/>
  <c r="L186" i="11"/>
  <c r="L184" i="11" s="1"/>
  <c r="P185" i="11"/>
  <c r="O185" i="11"/>
  <c r="O182" i="11"/>
  <c r="N182" i="11"/>
  <c r="M182" i="11"/>
  <c r="P182" i="11" s="1"/>
  <c r="L182" i="11"/>
  <c r="J177" i="11"/>
  <c r="I176" i="11"/>
  <c r="I174" i="11" s="1"/>
  <c r="J174" i="11"/>
  <c r="J164" i="11" s="1"/>
  <c r="N173" i="11"/>
  <c r="N171" i="11" s="1"/>
  <c r="M173" i="11"/>
  <c r="L173" i="11"/>
  <c r="L171" i="11" s="1"/>
  <c r="O171" i="11" s="1"/>
  <c r="P172" i="11"/>
  <c r="O172" i="11"/>
  <c r="N170" i="11"/>
  <c r="N168" i="11" s="1"/>
  <c r="M170" i="11"/>
  <c r="L170" i="11"/>
  <c r="L168" i="11" s="1"/>
  <c r="P169" i="11"/>
  <c r="O169" i="11"/>
  <c r="O166" i="11"/>
  <c r="N166" i="11"/>
  <c r="M166" i="11"/>
  <c r="P166" i="11" s="1"/>
  <c r="L166" i="11"/>
  <c r="I159" i="11"/>
  <c r="K159" i="11" s="1"/>
  <c r="N157" i="11"/>
  <c r="N155" i="11" s="1"/>
  <c r="M157" i="11"/>
  <c r="P157" i="11" s="1"/>
  <c r="L157" i="11"/>
  <c r="O157" i="11" s="1"/>
  <c r="P156" i="11"/>
  <c r="O156" i="11"/>
  <c r="N154" i="11"/>
  <c r="N152" i="11" s="1"/>
  <c r="M154" i="11"/>
  <c r="M152" i="11" s="1"/>
  <c r="L154" i="11"/>
  <c r="L152" i="11" s="1"/>
  <c r="P153" i="11"/>
  <c r="O153" i="11"/>
  <c r="P150" i="11"/>
  <c r="O150" i="11"/>
  <c r="N150" i="11"/>
  <c r="M150" i="11"/>
  <c r="L150" i="11"/>
  <c r="J148" i="11"/>
  <c r="I146" i="11"/>
  <c r="K146" i="11" s="1"/>
  <c r="I145" i="11"/>
  <c r="I143" i="11" s="1"/>
  <c r="I144" i="11"/>
  <c r="K144" i="11" s="1"/>
  <c r="N140" i="11"/>
  <c r="N138" i="11" s="1"/>
  <c r="M140" i="11"/>
  <c r="L140" i="11"/>
  <c r="L138" i="11" s="1"/>
  <c r="P139" i="11"/>
  <c r="O139" i="11"/>
  <c r="N137" i="11"/>
  <c r="M137" i="11"/>
  <c r="L137" i="11"/>
  <c r="L135" i="11" s="1"/>
  <c r="P136" i="11"/>
  <c r="O136" i="11"/>
  <c r="P133" i="11"/>
  <c r="N133" i="11"/>
  <c r="M133" i="11"/>
  <c r="L133" i="11"/>
  <c r="O133" i="11" s="1"/>
  <c r="J130" i="11"/>
  <c r="N127" i="11"/>
  <c r="N125" i="11" s="1"/>
  <c r="M127" i="11"/>
  <c r="L127" i="11"/>
  <c r="O127" i="11" s="1"/>
  <c r="P126" i="11"/>
  <c r="O126" i="11"/>
  <c r="N124" i="11"/>
  <c r="N122" i="11" s="1"/>
  <c r="M124" i="11"/>
  <c r="P124" i="11" s="1"/>
  <c r="L124" i="11"/>
  <c r="O124" i="11" s="1"/>
  <c r="P123" i="11"/>
  <c r="O123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N96" i="11"/>
  <c r="N94" i="11" s="1"/>
  <c r="M96" i="11"/>
  <c r="P96" i="11" s="1"/>
  <c r="L96" i="11"/>
  <c r="O96" i="11" s="1"/>
  <c r="P95" i="11"/>
  <c r="O95" i="11"/>
  <c r="N93" i="11"/>
  <c r="M93" i="11"/>
  <c r="L93" i="11"/>
  <c r="P92" i="11"/>
  <c r="O92" i="11"/>
  <c r="P89" i="11"/>
  <c r="O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K79" i="11" s="1"/>
  <c r="I78" i="11"/>
  <c r="K78" i="11" s="1"/>
  <c r="J77" i="11"/>
  <c r="J65" i="11" s="1"/>
  <c r="J76" i="11"/>
  <c r="N74" i="11"/>
  <c r="N72" i="11" s="1"/>
  <c r="M74" i="11"/>
  <c r="P74" i="11" s="1"/>
  <c r="L74" i="11"/>
  <c r="O74" i="11" s="1"/>
  <c r="P73" i="11"/>
  <c r="O73" i="11"/>
  <c r="N71" i="11"/>
  <c r="N69" i="11" s="1"/>
  <c r="M71" i="11"/>
  <c r="L71" i="11"/>
  <c r="P70" i="11"/>
  <c r="O70" i="11"/>
  <c r="N67" i="11"/>
  <c r="M67" i="11"/>
  <c r="P67" i="11" s="1"/>
  <c r="L67" i="11"/>
  <c r="O67" i="11" s="1"/>
  <c r="J64" i="11"/>
  <c r="N61" i="11"/>
  <c r="N59" i="11" s="1"/>
  <c r="M61" i="11"/>
  <c r="M59" i="11" s="1"/>
  <c r="L61" i="11"/>
  <c r="L59" i="11" s="1"/>
  <c r="P60" i="11"/>
  <c r="O60" i="11"/>
  <c r="N58" i="11"/>
  <c r="N56" i="11" s="1"/>
  <c r="M58" i="11"/>
  <c r="L58" i="11"/>
  <c r="L56" i="11" s="1"/>
  <c r="P57" i="11"/>
  <c r="O57" i="11"/>
  <c r="P54" i="11"/>
  <c r="N54" i="11"/>
  <c r="M54" i="11"/>
  <c r="L54" i="11"/>
  <c r="N49" i="11"/>
  <c r="N47" i="11" s="1"/>
  <c r="M49" i="11"/>
  <c r="M47" i="11" s="1"/>
  <c r="P47" i="11" s="1"/>
  <c r="L49" i="11"/>
  <c r="O49" i="11" s="1"/>
  <c r="P48" i="11"/>
  <c r="O48" i="11"/>
  <c r="N46" i="11"/>
  <c r="N44" i="11" s="1"/>
  <c r="M46" i="11"/>
  <c r="L46" i="11"/>
  <c r="L44" i="11" s="1"/>
  <c r="P45" i="11"/>
  <c r="O45" i="11"/>
  <c r="O42" i="11"/>
  <c r="N42" i="11"/>
  <c r="M42" i="11"/>
  <c r="P42" i="11" s="1"/>
  <c r="L42" i="11"/>
  <c r="P36" i="11"/>
  <c r="N36" i="11"/>
  <c r="M36" i="11"/>
  <c r="P35" i="11"/>
  <c r="O35" i="11"/>
  <c r="N35" i="11"/>
  <c r="M35" i="11"/>
  <c r="L35" i="11"/>
  <c r="P34" i="11"/>
  <c r="N34" i="11"/>
  <c r="M34" i="11"/>
  <c r="N33" i="11"/>
  <c r="N30" i="11" s="1"/>
  <c r="N28" i="11" s="1"/>
  <c r="M33" i="11"/>
  <c r="P33" i="11" s="1"/>
  <c r="N32" i="11"/>
  <c r="N31" i="11" s="1"/>
  <c r="M32" i="11"/>
  <c r="M31" i="11" s="1"/>
  <c r="P31" i="11" s="1"/>
  <c r="L32" i="11"/>
  <c r="O32" i="11" s="1"/>
  <c r="N29" i="11"/>
  <c r="N25" i="11"/>
  <c r="M25" i="11"/>
  <c r="L25" i="11"/>
  <c r="O25" i="11" s="1"/>
  <c r="P22" i="11"/>
  <c r="O22" i="11"/>
  <c r="N22" i="11"/>
  <c r="M22" i="11"/>
  <c r="L22" i="11"/>
  <c r="N19" i="11"/>
  <c r="M19" i="11"/>
  <c r="L19" i="11"/>
  <c r="O19" i="11" s="1"/>
  <c r="N15" i="11"/>
  <c r="N12" i="11"/>
  <c r="M12" i="11"/>
  <c r="L12" i="11"/>
  <c r="O12" i="11" s="1"/>
  <c r="N9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N808" i="10"/>
  <c r="M808" i="10"/>
  <c r="P808" i="10" s="1"/>
  <c r="L808" i="10"/>
  <c r="N807" i="10"/>
  <c r="N805" i="10" s="1"/>
  <c r="M807" i="10"/>
  <c r="P807" i="10" s="1"/>
  <c r="L807" i="10"/>
  <c r="O807" i="10" s="1"/>
  <c r="N806" i="10"/>
  <c r="M806" i="10"/>
  <c r="L806" i="10"/>
  <c r="O806" i="10" s="1"/>
  <c r="L805" i="10"/>
  <c r="O805" i="10" s="1"/>
  <c r="K804" i="10"/>
  <c r="J804" i="10"/>
  <c r="J803" i="10"/>
  <c r="I803" i="10"/>
  <c r="J802" i="10"/>
  <c r="J801" i="10"/>
  <c r="I801" i="10"/>
  <c r="J800" i="10"/>
  <c r="P798" i="10"/>
  <c r="O798" i="10"/>
  <c r="P797" i="10"/>
  <c r="O797" i="10"/>
  <c r="N796" i="10"/>
  <c r="M796" i="10"/>
  <c r="P796" i="10" s="1"/>
  <c r="L796" i="10"/>
  <c r="O796" i="10" s="1"/>
  <c r="P791" i="10"/>
  <c r="N791" i="10"/>
  <c r="L791" i="10"/>
  <c r="L788" i="10" s="1"/>
  <c r="O788" i="10" s="1"/>
  <c r="P790" i="10"/>
  <c r="O790" i="10"/>
  <c r="P789" i="10"/>
  <c r="N789" i="10"/>
  <c r="M789" i="10"/>
  <c r="P788" i="10"/>
  <c r="N788" i="10"/>
  <c r="M788" i="10"/>
  <c r="P787" i="10"/>
  <c r="O787" i="10"/>
  <c r="N787" i="10"/>
  <c r="M787" i="10"/>
  <c r="L787" i="10"/>
  <c r="N786" i="10"/>
  <c r="M786" i="10"/>
  <c r="P786" i="10" s="1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P774" i="10"/>
  <c r="O774" i="10"/>
  <c r="M773" i="10"/>
  <c r="P773" i="10" s="1"/>
  <c r="L773" i="10"/>
  <c r="O773" i="10" s="1"/>
  <c r="P772" i="10"/>
  <c r="M772" i="10"/>
  <c r="L772" i="10"/>
  <c r="P771" i="10"/>
  <c r="O771" i="10"/>
  <c r="N771" i="10"/>
  <c r="M771" i="10"/>
  <c r="L771" i="10"/>
  <c r="P770" i="10"/>
  <c r="M770" i="10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P758" i="10"/>
  <c r="O758" i="10"/>
  <c r="M757" i="10"/>
  <c r="P757" i="10" s="1"/>
  <c r="L757" i="10"/>
  <c r="O757" i="10" s="1"/>
  <c r="P756" i="10"/>
  <c r="M756" i="10"/>
  <c r="L756" i="10"/>
  <c r="P755" i="10"/>
  <c r="O755" i="10"/>
  <c r="N755" i="10"/>
  <c r="M755" i="10"/>
  <c r="L755" i="10"/>
  <c r="P754" i="10"/>
  <c r="M754" i="10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P741" i="10"/>
  <c r="O741" i="10"/>
  <c r="M740" i="10"/>
  <c r="P740" i="10" s="1"/>
  <c r="L740" i="10"/>
  <c r="O740" i="10" s="1"/>
  <c r="P739" i="10"/>
  <c r="M739" i="10"/>
  <c r="L739" i="10"/>
  <c r="P738" i="10"/>
  <c r="O738" i="10"/>
  <c r="N738" i="10"/>
  <c r="M738" i="10"/>
  <c r="L738" i="10"/>
  <c r="P737" i="10"/>
  <c r="M737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L690" i="10"/>
  <c r="P688" i="10"/>
  <c r="M688" i="10"/>
  <c r="P687" i="10"/>
  <c r="M687" i="10"/>
  <c r="P686" i="10"/>
  <c r="O686" i="10"/>
  <c r="N686" i="10"/>
  <c r="M686" i="10"/>
  <c r="L686" i="10"/>
  <c r="M685" i="10"/>
  <c r="P685" i="10" s="1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P667" i="10"/>
  <c r="O667" i="10"/>
  <c r="P666" i="10"/>
  <c r="O666" i="10"/>
  <c r="P665" i="10"/>
  <c r="O665" i="10"/>
  <c r="N665" i="10"/>
  <c r="M665" i="10"/>
  <c r="L665" i="10"/>
  <c r="P660" i="10"/>
  <c r="N660" i="10"/>
  <c r="L660" i="10"/>
  <c r="L658" i="10" s="1"/>
  <c r="O658" i="10" s="1"/>
  <c r="P659" i="10"/>
  <c r="O659" i="10"/>
  <c r="N658" i="10"/>
  <c r="M658" i="10"/>
  <c r="P658" i="10" s="1"/>
  <c r="N657" i="10"/>
  <c r="N655" i="10" s="1"/>
  <c r="M657" i="10"/>
  <c r="P657" i="10" s="1"/>
  <c r="N656" i="10"/>
  <c r="M656" i="10"/>
  <c r="L656" i="10"/>
  <c r="O656" i="10" s="1"/>
  <c r="K652" i="10"/>
  <c r="J652" i="10"/>
  <c r="J651" i="10"/>
  <c r="J628" i="10" s="1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P634" i="10"/>
  <c r="N634" i="10"/>
  <c r="L634" i="10"/>
  <c r="O634" i="10" s="1"/>
  <c r="P633" i="10"/>
  <c r="O633" i="10"/>
  <c r="P632" i="10"/>
  <c r="N632" i="10"/>
  <c r="M632" i="10"/>
  <c r="P631" i="10"/>
  <c r="N631" i="10"/>
  <c r="M631" i="10"/>
  <c r="O630" i="10"/>
  <c r="N630" i="10"/>
  <c r="N629" i="10" s="1"/>
  <c r="M630" i="10"/>
  <c r="P630" i="10" s="1"/>
  <c r="L630" i="10"/>
  <c r="M629" i="10"/>
  <c r="P629" i="10" s="1"/>
  <c r="J621" i="10"/>
  <c r="I621" i="10"/>
  <c r="J620" i="10"/>
  <c r="I620" i="10"/>
  <c r="K620" i="10" s="1"/>
  <c r="K613" i="10"/>
  <c r="J613" i="10"/>
  <c r="K612" i="10"/>
  <c r="J612" i="10"/>
  <c r="K611" i="10"/>
  <c r="J611" i="10"/>
  <c r="J604" i="10"/>
  <c r="J603" i="10"/>
  <c r="J593" i="10" s="1"/>
  <c r="J592" i="10" s="1"/>
  <c r="J596" i="10"/>
  <c r="J594" i="10" s="1"/>
  <c r="J595" i="10"/>
  <c r="I594" i="10"/>
  <c r="K594" i="10" s="1"/>
  <c r="I593" i="10"/>
  <c r="J583" i="10"/>
  <c r="J577" i="10" s="1"/>
  <c r="J582" i="10"/>
  <c r="I577" i="10"/>
  <c r="J576" i="10"/>
  <c r="J559" i="10" s="1"/>
  <c r="I576" i="10"/>
  <c r="J569" i="10"/>
  <c r="I569" i="10"/>
  <c r="J568" i="10"/>
  <c r="I568" i="10"/>
  <c r="J561" i="10"/>
  <c r="I561" i="10"/>
  <c r="J560" i="10"/>
  <c r="I560" i="10"/>
  <c r="P557" i="10"/>
  <c r="L557" i="10"/>
  <c r="P556" i="10"/>
  <c r="O556" i="10"/>
  <c r="N555" i="10"/>
  <c r="N545" i="10" s="1"/>
  <c r="M555" i="10"/>
  <c r="P555" i="10" s="1"/>
  <c r="P549" i="10"/>
  <c r="N549" i="10"/>
  <c r="N546" i="10" s="1"/>
  <c r="L549" i="10"/>
  <c r="P548" i="10"/>
  <c r="O548" i="10"/>
  <c r="N547" i="10"/>
  <c r="M547" i="10"/>
  <c r="P547" i="10" s="1"/>
  <c r="M546" i="10"/>
  <c r="P546" i="10" s="1"/>
  <c r="L545" i="10"/>
  <c r="J543" i="10"/>
  <c r="I542" i="10"/>
  <c r="K542" i="10" s="1"/>
  <c r="I541" i="10"/>
  <c r="K541" i="10" s="1"/>
  <c r="I540" i="10"/>
  <c r="K540" i="10" s="1"/>
  <c r="I539" i="10"/>
  <c r="K539" i="10" s="1"/>
  <c r="I538" i="10"/>
  <c r="I537" i="10"/>
  <c r="I522" i="10" s="1"/>
  <c r="K522" i="10" s="1"/>
  <c r="P535" i="10"/>
  <c r="L535" i="10"/>
  <c r="L533" i="10" s="1"/>
  <c r="O533" i="10" s="1"/>
  <c r="P534" i="10"/>
  <c r="O534" i="10"/>
  <c r="N533" i="10"/>
  <c r="M533" i="10"/>
  <c r="P533" i="10" s="1"/>
  <c r="P528" i="10"/>
  <c r="N528" i="10"/>
  <c r="L528" i="10"/>
  <c r="O528" i="10" s="1"/>
  <c r="P527" i="10"/>
  <c r="O527" i="10"/>
  <c r="P526" i="10"/>
  <c r="N526" i="10"/>
  <c r="M526" i="10"/>
  <c r="P525" i="10"/>
  <c r="N525" i="10"/>
  <c r="M525" i="10"/>
  <c r="P524" i="10"/>
  <c r="O524" i="10"/>
  <c r="N524" i="10"/>
  <c r="M524" i="10"/>
  <c r="L524" i="10"/>
  <c r="N523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P506" i="10"/>
  <c r="O506" i="10"/>
  <c r="P505" i="10"/>
  <c r="O505" i="10"/>
  <c r="N505" i="10"/>
  <c r="M505" i="10"/>
  <c r="L505" i="10"/>
  <c r="O504" i="10"/>
  <c r="N504" i="10"/>
  <c r="M504" i="10"/>
  <c r="P504" i="10" s="1"/>
  <c r="L504" i="10"/>
  <c r="N503" i="10"/>
  <c r="M503" i="10"/>
  <c r="P503" i="10" s="1"/>
  <c r="L503" i="10"/>
  <c r="O503" i="10" s="1"/>
  <c r="M502" i="10"/>
  <c r="P502" i="10" s="1"/>
  <c r="L502" i="10"/>
  <c r="O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P472" i="10"/>
  <c r="N472" i="10"/>
  <c r="L472" i="10"/>
  <c r="O472" i="10" s="1"/>
  <c r="P471" i="10"/>
  <c r="O471" i="10"/>
  <c r="P470" i="10"/>
  <c r="N470" i="10"/>
  <c r="M470" i="10"/>
  <c r="L470" i="10"/>
  <c r="O470" i="10" s="1"/>
  <c r="N469" i="10"/>
  <c r="M469" i="10"/>
  <c r="P469" i="10" s="1"/>
  <c r="N468" i="10"/>
  <c r="N467" i="10" s="1"/>
  <c r="M468" i="10"/>
  <c r="P468" i="10" s="1"/>
  <c r="L468" i="10"/>
  <c r="O468" i="10" s="1"/>
  <c r="M467" i="10"/>
  <c r="P467" i="10" s="1"/>
  <c r="J466" i="10"/>
  <c r="I466" i="10"/>
  <c r="K466" i="10" s="1"/>
  <c r="J465" i="10"/>
  <c r="I465" i="10"/>
  <c r="K465" i="10" s="1"/>
  <c r="I464" i="10"/>
  <c r="I463" i="10"/>
  <c r="I462" i="10"/>
  <c r="I443" i="10" s="1"/>
  <c r="K443" i="10" s="1"/>
  <c r="I460" i="10"/>
  <c r="K458" i="10"/>
  <c r="P456" i="10"/>
  <c r="L456" i="10"/>
  <c r="O456" i="10" s="1"/>
  <c r="P455" i="10"/>
  <c r="O455" i="10"/>
  <c r="P454" i="10"/>
  <c r="N454" i="10"/>
  <c r="M454" i="10"/>
  <c r="P449" i="10"/>
  <c r="N449" i="10"/>
  <c r="L449" i="10"/>
  <c r="L447" i="10" s="1"/>
  <c r="O447" i="10" s="1"/>
  <c r="P448" i="10"/>
  <c r="O448" i="10"/>
  <c r="P447" i="10"/>
  <c r="N447" i="10"/>
  <c r="M447" i="10"/>
  <c r="P446" i="10"/>
  <c r="N446" i="10"/>
  <c r="M446" i="10"/>
  <c r="O445" i="10"/>
  <c r="N445" i="10"/>
  <c r="M445" i="10"/>
  <c r="P445" i="10" s="1"/>
  <c r="L445" i="10"/>
  <c r="N444" i="10"/>
  <c r="M444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I435" i="10"/>
  <c r="I433" i="10" s="1"/>
  <c r="I417" i="10" s="1"/>
  <c r="J434" i="10"/>
  <c r="P431" i="10"/>
  <c r="L431" i="10"/>
  <c r="O431" i="10" s="1"/>
  <c r="P430" i="10"/>
  <c r="O430" i="10"/>
  <c r="P429" i="10"/>
  <c r="N429" i="10"/>
  <c r="M429" i="10"/>
  <c r="L429" i="10"/>
  <c r="O429" i="10" s="1"/>
  <c r="P424" i="10"/>
  <c r="N424" i="10"/>
  <c r="L424" i="10"/>
  <c r="L422" i="10" s="1"/>
  <c r="O422" i="10" s="1"/>
  <c r="P423" i="10"/>
  <c r="O423" i="10"/>
  <c r="P422" i="10"/>
  <c r="N422" i="10"/>
  <c r="M422" i="10"/>
  <c r="P421" i="10"/>
  <c r="N421" i="10"/>
  <c r="M421" i="10"/>
  <c r="O420" i="10"/>
  <c r="N420" i="10"/>
  <c r="N419" i="10" s="1"/>
  <c r="M420" i="10"/>
  <c r="P420" i="10" s="1"/>
  <c r="L420" i="10"/>
  <c r="M419" i="10"/>
  <c r="P419" i="10" s="1"/>
  <c r="J418" i="10"/>
  <c r="K413" i="10"/>
  <c r="K412" i="10"/>
  <c r="N410" i="10"/>
  <c r="N408" i="10" s="1"/>
  <c r="M410" i="10"/>
  <c r="L410" i="10"/>
  <c r="L408" i="10" s="1"/>
  <c r="O408" i="10" s="1"/>
  <c r="P409" i="10"/>
  <c r="O409" i="10"/>
  <c r="N407" i="10"/>
  <c r="N405" i="10" s="1"/>
  <c r="M407" i="10"/>
  <c r="L407" i="10"/>
  <c r="L405" i="10" s="1"/>
  <c r="O405" i="10" s="1"/>
  <c r="P406" i="10"/>
  <c r="O406" i="10"/>
  <c r="N403" i="10"/>
  <c r="M403" i="10"/>
  <c r="L403" i="10"/>
  <c r="O403" i="10" s="1"/>
  <c r="K401" i="10"/>
  <c r="J401" i="10"/>
  <c r="I401" i="10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M394" i="10"/>
  <c r="L394" i="10"/>
  <c r="P393" i="10"/>
  <c r="O393" i="10"/>
  <c r="O390" i="10"/>
  <c r="N390" i="10"/>
  <c r="M390" i="10"/>
  <c r="P390" i="10" s="1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M350" i="10"/>
  <c r="L350" i="10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P335" i="10"/>
  <c r="O335" i="10"/>
  <c r="N333" i="10"/>
  <c r="M333" i="10"/>
  <c r="M331" i="10" s="1"/>
  <c r="L333" i="10"/>
  <c r="L331" i="10" s="1"/>
  <c r="P332" i="10"/>
  <c r="O332" i="10"/>
  <c r="N329" i="10"/>
  <c r="M329" i="10"/>
  <c r="P329" i="10" s="1"/>
  <c r="L329" i="10"/>
  <c r="I327" i="10"/>
  <c r="I325" i="10"/>
  <c r="K325" i="10" s="1"/>
  <c r="N323" i="10"/>
  <c r="N321" i="10" s="1"/>
  <c r="M323" i="10"/>
  <c r="P323" i="10" s="1"/>
  <c r="L323" i="10"/>
  <c r="P322" i="10"/>
  <c r="O322" i="10"/>
  <c r="N320" i="10"/>
  <c r="N318" i="10" s="1"/>
  <c r="M320" i="10"/>
  <c r="L320" i="10"/>
  <c r="O320" i="10" s="1"/>
  <c r="P319" i="10"/>
  <c r="O319" i="10"/>
  <c r="P316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L306" i="10"/>
  <c r="O306" i="10" s="1"/>
  <c r="P305" i="10"/>
  <c r="O305" i="10"/>
  <c r="N303" i="10"/>
  <c r="M303" i="10"/>
  <c r="L303" i="10"/>
  <c r="O303" i="10" s="1"/>
  <c r="P302" i="10"/>
  <c r="O302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I287" i="10"/>
  <c r="K287" i="10" s="1"/>
  <c r="N285" i="10"/>
  <c r="N283" i="10" s="1"/>
  <c r="M285" i="10"/>
  <c r="P285" i="10" s="1"/>
  <c r="L285" i="10"/>
  <c r="O285" i="10" s="1"/>
  <c r="P284" i="10"/>
  <c r="O284" i="10"/>
  <c r="N282" i="10"/>
  <c r="M282" i="10"/>
  <c r="M280" i="10" s="1"/>
  <c r="L282" i="10"/>
  <c r="P281" i="10"/>
  <c r="O281" i="10"/>
  <c r="N278" i="10"/>
  <c r="M278" i="10"/>
  <c r="L278" i="10"/>
  <c r="O278" i="10" s="1"/>
  <c r="J276" i="10"/>
  <c r="I271" i="10"/>
  <c r="K271" i="10" s="1"/>
  <c r="N269" i="10"/>
  <c r="N267" i="10" s="1"/>
  <c r="M269" i="10"/>
  <c r="L269" i="10"/>
  <c r="O269" i="10" s="1"/>
  <c r="P268" i="10"/>
  <c r="O268" i="10"/>
  <c r="N266" i="10"/>
  <c r="N264" i="10" s="1"/>
  <c r="M266" i="10"/>
  <c r="L266" i="10"/>
  <c r="L264" i="10" s="1"/>
  <c r="P265" i="10"/>
  <c r="O265" i="10"/>
  <c r="N262" i="10"/>
  <c r="M262" i="10"/>
  <c r="P262" i="10" s="1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N227" i="10"/>
  <c r="J226" i="10"/>
  <c r="I225" i="10"/>
  <c r="K225" i="10" s="1"/>
  <c r="I224" i="10"/>
  <c r="I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M186" i="10"/>
  <c r="M184" i="10" s="1"/>
  <c r="L186" i="10"/>
  <c r="P185" i="10"/>
  <c r="O185" i="10"/>
  <c r="P182" i="10"/>
  <c r="O182" i="10"/>
  <c r="N182" i="10"/>
  <c r="M182" i="10"/>
  <c r="L182" i="10"/>
  <c r="J180" i="10"/>
  <c r="J177" i="10"/>
  <c r="I176" i="10"/>
  <c r="K176" i="10" s="1"/>
  <c r="J174" i="10"/>
  <c r="N173" i="10"/>
  <c r="N171" i="10" s="1"/>
  <c r="M173" i="10"/>
  <c r="P173" i="10" s="1"/>
  <c r="L173" i="10"/>
  <c r="P172" i="10"/>
  <c r="O172" i="10"/>
  <c r="N170" i="10"/>
  <c r="M170" i="10"/>
  <c r="L170" i="10"/>
  <c r="L168" i="10" s="1"/>
  <c r="P169" i="10"/>
  <c r="O169" i="10"/>
  <c r="P166" i="10"/>
  <c r="O166" i="10"/>
  <c r="N166" i="10"/>
  <c r="M166" i="10"/>
  <c r="L166" i="10"/>
  <c r="J164" i="10"/>
  <c r="I159" i="10"/>
  <c r="K159" i="10" s="1"/>
  <c r="N157" i="10"/>
  <c r="N155" i="10" s="1"/>
  <c r="M157" i="10"/>
  <c r="L157" i="10"/>
  <c r="O157" i="10" s="1"/>
  <c r="P156" i="10"/>
  <c r="O156" i="10"/>
  <c r="N154" i="10"/>
  <c r="N152" i="10" s="1"/>
  <c r="M154" i="10"/>
  <c r="L154" i="10"/>
  <c r="O154" i="10" s="1"/>
  <c r="P153" i="10"/>
  <c r="O153" i="10"/>
  <c r="N150" i="10"/>
  <c r="M150" i="10"/>
  <c r="L150" i="10"/>
  <c r="O150" i="10" s="1"/>
  <c r="J148" i="10"/>
  <c r="I146" i="10"/>
  <c r="K146" i="10" s="1"/>
  <c r="I145" i="10"/>
  <c r="K145" i="10" s="1"/>
  <c r="I144" i="10"/>
  <c r="K144" i="10" s="1"/>
  <c r="N140" i="10"/>
  <c r="N138" i="10" s="1"/>
  <c r="M140" i="10"/>
  <c r="M138" i="10" s="1"/>
  <c r="P138" i="10" s="1"/>
  <c r="L140" i="10"/>
  <c r="L138" i="10" s="1"/>
  <c r="O138" i="10" s="1"/>
  <c r="P139" i="10"/>
  <c r="O139" i="10"/>
  <c r="N137" i="10"/>
  <c r="N135" i="10" s="1"/>
  <c r="M137" i="10"/>
  <c r="L137" i="10"/>
  <c r="O137" i="10" s="1"/>
  <c r="P136" i="10"/>
  <c r="O136" i="10"/>
  <c r="P133" i="10"/>
  <c r="O133" i="10"/>
  <c r="N133" i="10"/>
  <c r="M133" i="10"/>
  <c r="L133" i="10"/>
  <c r="J130" i="10"/>
  <c r="N127" i="10"/>
  <c r="M127" i="10"/>
  <c r="L127" i="10"/>
  <c r="O127" i="10" s="1"/>
  <c r="P126" i="10"/>
  <c r="O126" i="10"/>
  <c r="N124" i="10"/>
  <c r="N122" i="10" s="1"/>
  <c r="M124" i="10"/>
  <c r="L124" i="10"/>
  <c r="O124" i="10" s="1"/>
  <c r="P123" i="10"/>
  <c r="O123" i="10"/>
  <c r="N120" i="10"/>
  <c r="M120" i="10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K99" i="10" s="1"/>
  <c r="J98" i="10"/>
  <c r="J86" i="10" s="1"/>
  <c r="I98" i="10"/>
  <c r="N96" i="10"/>
  <c r="N94" i="10" s="1"/>
  <c r="M96" i="10"/>
  <c r="P96" i="10" s="1"/>
  <c r="L96" i="10"/>
  <c r="O96" i="10" s="1"/>
  <c r="P95" i="10"/>
  <c r="O95" i="10"/>
  <c r="N93" i="10"/>
  <c r="M93" i="10"/>
  <c r="M91" i="10" s="1"/>
  <c r="L93" i="10"/>
  <c r="P92" i="10"/>
  <c r="O92" i="10"/>
  <c r="P89" i="10"/>
  <c r="O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65" i="10" s="1"/>
  <c r="J76" i="10"/>
  <c r="N74" i="10"/>
  <c r="N72" i="10" s="1"/>
  <c r="M74" i="10"/>
  <c r="M72" i="10" s="1"/>
  <c r="P72" i="10" s="1"/>
  <c r="L74" i="10"/>
  <c r="O74" i="10" s="1"/>
  <c r="P73" i="10"/>
  <c r="O73" i="10"/>
  <c r="N71" i="10"/>
  <c r="M71" i="10"/>
  <c r="M69" i="10" s="1"/>
  <c r="L71" i="10"/>
  <c r="L69" i="10" s="1"/>
  <c r="P70" i="10"/>
  <c r="O70" i="10"/>
  <c r="P67" i="10"/>
  <c r="O67" i="10"/>
  <c r="N67" i="10"/>
  <c r="M67" i="10"/>
  <c r="L67" i="10"/>
  <c r="J64" i="10"/>
  <c r="N61" i="10"/>
  <c r="N59" i="10" s="1"/>
  <c r="M61" i="10"/>
  <c r="L61" i="10"/>
  <c r="L59" i="10" s="1"/>
  <c r="P60" i="10"/>
  <c r="O60" i="10"/>
  <c r="N58" i="10"/>
  <c r="N56" i="10" s="1"/>
  <c r="M58" i="10"/>
  <c r="L58" i="10"/>
  <c r="L56" i="10" s="1"/>
  <c r="P57" i="10"/>
  <c r="O57" i="10"/>
  <c r="N54" i="10"/>
  <c r="M54" i="10"/>
  <c r="L54" i="10"/>
  <c r="O54" i="10" s="1"/>
  <c r="N49" i="10"/>
  <c r="N47" i="10" s="1"/>
  <c r="M49" i="10"/>
  <c r="M47" i="10" s="1"/>
  <c r="P47" i="10" s="1"/>
  <c r="L49" i="10"/>
  <c r="O49" i="10" s="1"/>
  <c r="P48" i="10"/>
  <c r="O48" i="10"/>
  <c r="N46" i="10"/>
  <c r="M46" i="10"/>
  <c r="M44" i="10" s="1"/>
  <c r="L46" i="10"/>
  <c r="L44" i="10" s="1"/>
  <c r="P45" i="10"/>
  <c r="O45" i="10"/>
  <c r="P42" i="10"/>
  <c r="O42" i="10"/>
  <c r="N42" i="10"/>
  <c r="M42" i="10"/>
  <c r="L42" i="10"/>
  <c r="N36" i="10"/>
  <c r="M36" i="10"/>
  <c r="P35" i="10"/>
  <c r="N35" i="10"/>
  <c r="N34" i="10" s="1"/>
  <c r="M35" i="10"/>
  <c r="L35" i="10"/>
  <c r="L15" i="10" s="1"/>
  <c r="P33" i="10"/>
  <c r="N33" i="10"/>
  <c r="N30" i="10" s="1"/>
  <c r="M33" i="10"/>
  <c r="O32" i="10"/>
  <c r="N32" i="10"/>
  <c r="N29" i="10" s="1"/>
  <c r="N28" i="10" s="1"/>
  <c r="M32" i="10"/>
  <c r="P32" i="10" s="1"/>
  <c r="L32" i="10"/>
  <c r="N31" i="10"/>
  <c r="M31" i="10"/>
  <c r="P31" i="10" s="1"/>
  <c r="M30" i="10"/>
  <c r="P30" i="10" s="1"/>
  <c r="L29" i="10"/>
  <c r="O25" i="10"/>
  <c r="N25" i="10"/>
  <c r="M25" i="10"/>
  <c r="P25" i="10" s="1"/>
  <c r="L25" i="10"/>
  <c r="P22" i="10"/>
  <c r="N22" i="10"/>
  <c r="M22" i="10"/>
  <c r="L22" i="10"/>
  <c r="N19" i="10"/>
  <c r="M19" i="10"/>
  <c r="P19" i="10" s="1"/>
  <c r="N15" i="10"/>
  <c r="N12" i="10"/>
  <c r="M12" i="10"/>
  <c r="P12" i="10" s="1"/>
  <c r="L12" i="10"/>
  <c r="O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J803" i="9"/>
  <c r="I803" i="9"/>
  <c r="K803" i="9" s="1"/>
  <c r="J802" i="9"/>
  <c r="J801" i="9"/>
  <c r="I801" i="9"/>
  <c r="J800" i="9"/>
  <c r="P798" i="9"/>
  <c r="O798" i="9"/>
  <c r="P797" i="9"/>
  <c r="O797" i="9"/>
  <c r="P796" i="9"/>
  <c r="N796" i="9"/>
  <c r="M796" i="9"/>
  <c r="L796" i="9"/>
  <c r="O796" i="9" s="1"/>
  <c r="P791" i="9"/>
  <c r="N791" i="9"/>
  <c r="L791" i="9"/>
  <c r="O791" i="9" s="1"/>
  <c r="P790" i="9"/>
  <c r="O790" i="9"/>
  <c r="N789" i="9"/>
  <c r="M789" i="9"/>
  <c r="P789" i="9" s="1"/>
  <c r="P788" i="9"/>
  <c r="N788" i="9"/>
  <c r="M788" i="9"/>
  <c r="O787" i="9"/>
  <c r="N787" i="9"/>
  <c r="M787" i="9"/>
  <c r="M786" i="9" s="1"/>
  <c r="P786" i="9" s="1"/>
  <c r="L787" i="9"/>
  <c r="N786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P774" i="9"/>
  <c r="O774" i="9"/>
  <c r="P773" i="9"/>
  <c r="N773" i="9"/>
  <c r="M773" i="9"/>
  <c r="L773" i="9"/>
  <c r="O773" i="9" s="1"/>
  <c r="O772" i="9"/>
  <c r="N772" i="9"/>
  <c r="M772" i="9"/>
  <c r="L772" i="9"/>
  <c r="P771" i="9"/>
  <c r="N771" i="9"/>
  <c r="N770" i="9" s="1"/>
  <c r="M771" i="9"/>
  <c r="L771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P758" i="9"/>
  <c r="O758" i="9"/>
  <c r="P757" i="9"/>
  <c r="N757" i="9"/>
  <c r="M757" i="9"/>
  <c r="L757" i="9"/>
  <c r="O757" i="9" s="1"/>
  <c r="O756" i="9"/>
  <c r="N756" i="9"/>
  <c r="M756" i="9"/>
  <c r="P756" i="9" s="1"/>
  <c r="L756" i="9"/>
  <c r="P755" i="9"/>
  <c r="N755" i="9"/>
  <c r="N754" i="9" s="1"/>
  <c r="M755" i="9"/>
  <c r="L755" i="9"/>
  <c r="M754" i="9"/>
  <c r="P754" i="9" s="1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P741" i="9"/>
  <c r="O741" i="9"/>
  <c r="P740" i="9"/>
  <c r="N740" i="9"/>
  <c r="M740" i="9"/>
  <c r="L740" i="9"/>
  <c r="O740" i="9" s="1"/>
  <c r="O739" i="9"/>
  <c r="N739" i="9"/>
  <c r="M739" i="9"/>
  <c r="P739" i="9" s="1"/>
  <c r="L739" i="9"/>
  <c r="P738" i="9"/>
  <c r="N738" i="9"/>
  <c r="N737" i="9" s="1"/>
  <c r="M738" i="9"/>
  <c r="L738" i="9"/>
  <c r="M737" i="9"/>
  <c r="P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P695" i="9"/>
  <c r="N695" i="9"/>
  <c r="M695" i="9"/>
  <c r="L695" i="9"/>
  <c r="O695" i="9" s="1"/>
  <c r="P690" i="9"/>
  <c r="N690" i="9"/>
  <c r="L690" i="9"/>
  <c r="N688" i="9"/>
  <c r="M688" i="9"/>
  <c r="P688" i="9" s="1"/>
  <c r="P687" i="9"/>
  <c r="N687" i="9"/>
  <c r="N685" i="9" s="1"/>
  <c r="M687" i="9"/>
  <c r="O686" i="9"/>
  <c r="N686" i="9"/>
  <c r="M686" i="9"/>
  <c r="L686" i="9"/>
  <c r="J679" i="9"/>
  <c r="J678" i="9" s="1"/>
  <c r="I678" i="9"/>
  <c r="K678" i="9" s="1"/>
  <c r="J675" i="9"/>
  <c r="J669" i="9" s="1"/>
  <c r="I671" i="9"/>
  <c r="K671" i="9" s="1"/>
  <c r="I670" i="9"/>
  <c r="K670" i="9" s="1"/>
  <c r="I669" i="9"/>
  <c r="I654" i="9" s="1"/>
  <c r="P667" i="9"/>
  <c r="O667" i="9"/>
  <c r="P666" i="9"/>
  <c r="O666" i="9"/>
  <c r="O665" i="9"/>
  <c r="N665" i="9"/>
  <c r="M665" i="9"/>
  <c r="P665" i="9" s="1"/>
  <c r="L665" i="9"/>
  <c r="P660" i="9"/>
  <c r="N660" i="9"/>
  <c r="L660" i="9"/>
  <c r="L657" i="9" s="1"/>
  <c r="P659" i="9"/>
  <c r="O659" i="9"/>
  <c r="P658" i="9"/>
  <c r="M658" i="9"/>
  <c r="M657" i="9"/>
  <c r="P657" i="9" s="1"/>
  <c r="P656" i="9"/>
  <c r="N656" i="9"/>
  <c r="M656" i="9"/>
  <c r="L656" i="9"/>
  <c r="M655" i="9"/>
  <c r="P655" i="9" s="1"/>
  <c r="J654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P634" i="9"/>
  <c r="N634" i="9"/>
  <c r="N631" i="9" s="1"/>
  <c r="L634" i="9"/>
  <c r="P633" i="9"/>
  <c r="O633" i="9"/>
  <c r="M632" i="9"/>
  <c r="P632" i="9" s="1"/>
  <c r="M631" i="9"/>
  <c r="P631" i="9" s="1"/>
  <c r="P630" i="9"/>
  <c r="N630" i="9"/>
  <c r="M630" i="9"/>
  <c r="L630" i="9"/>
  <c r="O630" i="9" s="1"/>
  <c r="M629" i="9"/>
  <c r="P629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J593" i="9"/>
  <c r="I593" i="9"/>
  <c r="I592" i="9" s="1"/>
  <c r="J583" i="9"/>
  <c r="J577" i="9" s="1"/>
  <c r="J582" i="9"/>
  <c r="J576" i="9" s="1"/>
  <c r="J559" i="9" s="1"/>
  <c r="I577" i="9"/>
  <c r="I576" i="9"/>
  <c r="I559" i="9" s="1"/>
  <c r="J569" i="9"/>
  <c r="I569" i="9"/>
  <c r="K569" i="9" s="1"/>
  <c r="J568" i="9"/>
  <c r="I568" i="9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N545" i="9" s="1"/>
  <c r="N544" i="9" s="1"/>
  <c r="M555" i="9"/>
  <c r="L555" i="9"/>
  <c r="O555" i="9" s="1"/>
  <c r="P549" i="9"/>
  <c r="N549" i="9"/>
  <c r="L549" i="9"/>
  <c r="P548" i="9"/>
  <c r="O548" i="9"/>
  <c r="N547" i="9"/>
  <c r="M547" i="9"/>
  <c r="P547" i="9" s="1"/>
  <c r="P546" i="9"/>
  <c r="N546" i="9"/>
  <c r="M546" i="9"/>
  <c r="O545" i="9"/>
  <c r="M545" i="9"/>
  <c r="P545" i="9" s="1"/>
  <c r="L545" i="9"/>
  <c r="J543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P528" i="9"/>
  <c r="N528" i="9"/>
  <c r="L528" i="9"/>
  <c r="L526" i="9" s="1"/>
  <c r="O526" i="9" s="1"/>
  <c r="P527" i="9"/>
  <c r="O527" i="9"/>
  <c r="P526" i="9"/>
  <c r="N526" i="9"/>
  <c r="M526" i="9"/>
  <c r="N525" i="9"/>
  <c r="N523" i="9" s="1"/>
  <c r="M525" i="9"/>
  <c r="P525" i="9" s="1"/>
  <c r="N524" i="9"/>
  <c r="M524" i="9"/>
  <c r="L524" i="9"/>
  <c r="K517" i="9"/>
  <c r="J517" i="9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5" i="9" s="1"/>
  <c r="P506" i="9"/>
  <c r="O506" i="9"/>
  <c r="O505" i="9"/>
  <c r="M505" i="9"/>
  <c r="P505" i="9" s="1"/>
  <c r="L505" i="9"/>
  <c r="N504" i="9"/>
  <c r="N502" i="9" s="1"/>
  <c r="M504" i="9"/>
  <c r="P504" i="9" s="1"/>
  <c r="L504" i="9"/>
  <c r="O504" i="9" s="1"/>
  <c r="N503" i="9"/>
  <c r="M503" i="9"/>
  <c r="L503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P472" i="9"/>
  <c r="N472" i="9"/>
  <c r="N470" i="9" s="1"/>
  <c r="L472" i="9"/>
  <c r="O472" i="9" s="1"/>
  <c r="P471" i="9"/>
  <c r="O471" i="9"/>
  <c r="M470" i="9"/>
  <c r="P470" i="9" s="1"/>
  <c r="N469" i="9"/>
  <c r="N467" i="9" s="1"/>
  <c r="M469" i="9"/>
  <c r="P469" i="9" s="1"/>
  <c r="N468" i="9"/>
  <c r="M468" i="9"/>
  <c r="L468" i="9"/>
  <c r="J466" i="9"/>
  <c r="I466" i="9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L454" i="9" s="1"/>
  <c r="O454" i="9" s="1"/>
  <c r="P455" i="9"/>
  <c r="O455" i="9"/>
  <c r="N454" i="9"/>
  <c r="M454" i="9"/>
  <c r="P454" i="9" s="1"/>
  <c r="P449" i="9"/>
  <c r="N449" i="9"/>
  <c r="L449" i="9"/>
  <c r="P448" i="9"/>
  <c r="O448" i="9"/>
  <c r="N447" i="9"/>
  <c r="M447" i="9"/>
  <c r="P447" i="9" s="1"/>
  <c r="N446" i="9"/>
  <c r="M446" i="9"/>
  <c r="P446" i="9" s="1"/>
  <c r="P445" i="9"/>
  <c r="N445" i="9"/>
  <c r="N444" i="9" s="1"/>
  <c r="M445" i="9"/>
  <c r="L445" i="9"/>
  <c r="O445" i="9" s="1"/>
  <c r="M444" i="9"/>
  <c r="P444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P431" i="9"/>
  <c r="L431" i="9"/>
  <c r="L429" i="9" s="1"/>
  <c r="O429" i="9" s="1"/>
  <c r="P430" i="9"/>
  <c r="O430" i="9"/>
  <c r="N429" i="9"/>
  <c r="M429" i="9"/>
  <c r="P429" i="9" s="1"/>
  <c r="P424" i="9"/>
  <c r="N424" i="9"/>
  <c r="L424" i="9"/>
  <c r="P423" i="9"/>
  <c r="O423" i="9"/>
  <c r="N422" i="9"/>
  <c r="M422" i="9"/>
  <c r="P422" i="9" s="1"/>
  <c r="N421" i="9"/>
  <c r="M421" i="9"/>
  <c r="P421" i="9" s="1"/>
  <c r="P420" i="9"/>
  <c r="N420" i="9"/>
  <c r="N419" i="9" s="1"/>
  <c r="M420" i="9"/>
  <c r="L420" i="9"/>
  <c r="O420" i="9" s="1"/>
  <c r="M419" i="9"/>
  <c r="J418" i="9"/>
  <c r="K413" i="9"/>
  <c r="K412" i="9"/>
  <c r="N410" i="9"/>
  <c r="M410" i="9"/>
  <c r="P410" i="9" s="1"/>
  <c r="L410" i="9"/>
  <c r="O410" i="9" s="1"/>
  <c r="P409" i="9"/>
  <c r="O409" i="9"/>
  <c r="N407" i="9"/>
  <c r="N405" i="9" s="1"/>
  <c r="M407" i="9"/>
  <c r="M405" i="9" s="1"/>
  <c r="P405" i="9" s="1"/>
  <c r="L407" i="9"/>
  <c r="L405" i="9" s="1"/>
  <c r="O405" i="9" s="1"/>
  <c r="P406" i="9"/>
  <c r="O406" i="9"/>
  <c r="P403" i="9"/>
  <c r="N403" i="9"/>
  <c r="M403" i="9"/>
  <c r="L403" i="9"/>
  <c r="O403" i="9" s="1"/>
  <c r="K401" i="9"/>
  <c r="J401" i="9"/>
  <c r="I401" i="9"/>
  <c r="K400" i="9"/>
  <c r="K399" i="9"/>
  <c r="N397" i="9"/>
  <c r="N395" i="9" s="1"/>
  <c r="M397" i="9"/>
  <c r="P397" i="9" s="1"/>
  <c r="L397" i="9"/>
  <c r="L395" i="9" s="1"/>
  <c r="O395" i="9" s="1"/>
  <c r="P396" i="9"/>
  <c r="O396" i="9"/>
  <c r="N394" i="9"/>
  <c r="N392" i="9" s="1"/>
  <c r="M394" i="9"/>
  <c r="L394" i="9"/>
  <c r="P393" i="9"/>
  <c r="O393" i="9"/>
  <c r="P390" i="9"/>
  <c r="N390" i="9"/>
  <c r="M390" i="9"/>
  <c r="L390" i="9"/>
  <c r="O390" i="9" s="1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P352" i="9"/>
  <c r="O352" i="9"/>
  <c r="N350" i="9"/>
  <c r="M350" i="9"/>
  <c r="M348" i="9" s="1"/>
  <c r="L350" i="9"/>
  <c r="L348" i="9" s="1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P335" i="9"/>
  <c r="O335" i="9"/>
  <c r="N333" i="9"/>
  <c r="N331" i="9" s="1"/>
  <c r="M333" i="9"/>
  <c r="L333" i="9"/>
  <c r="L331" i="9" s="1"/>
  <c r="P332" i="9"/>
  <c r="O332" i="9"/>
  <c r="P329" i="9"/>
  <c r="O329" i="9"/>
  <c r="N329" i="9"/>
  <c r="M329" i="9"/>
  <c r="L329" i="9"/>
  <c r="I327" i="9"/>
  <c r="I325" i="9"/>
  <c r="K325" i="9" s="1"/>
  <c r="N323" i="9"/>
  <c r="N321" i="9" s="1"/>
  <c r="M323" i="9"/>
  <c r="L323" i="9"/>
  <c r="P322" i="9"/>
  <c r="O322" i="9"/>
  <c r="N320" i="9"/>
  <c r="N318" i="9" s="1"/>
  <c r="M320" i="9"/>
  <c r="M318" i="9" s="1"/>
  <c r="P318" i="9" s="1"/>
  <c r="L320" i="9"/>
  <c r="P319" i="9"/>
  <c r="O319" i="9"/>
  <c r="N316" i="9"/>
  <c r="M316" i="9"/>
  <c r="P316" i="9" s="1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P305" i="9"/>
  <c r="O305" i="9"/>
  <c r="N303" i="9"/>
  <c r="M303" i="9"/>
  <c r="M301" i="9" s="1"/>
  <c r="P301" i="9" s="1"/>
  <c r="L303" i="9"/>
  <c r="P302" i="9"/>
  <c r="O302" i="9"/>
  <c r="N299" i="9"/>
  <c r="M299" i="9"/>
  <c r="P299" i="9" s="1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I275" i="9" s="1"/>
  <c r="I287" i="9"/>
  <c r="I276" i="9" s="1"/>
  <c r="K276" i="9" s="1"/>
  <c r="N285" i="9"/>
  <c r="N283" i="9" s="1"/>
  <c r="M285" i="9"/>
  <c r="P285" i="9" s="1"/>
  <c r="L285" i="9"/>
  <c r="L283" i="9" s="1"/>
  <c r="O283" i="9" s="1"/>
  <c r="P284" i="9"/>
  <c r="O284" i="9"/>
  <c r="N282" i="9"/>
  <c r="N280" i="9" s="1"/>
  <c r="M282" i="9"/>
  <c r="L282" i="9"/>
  <c r="L280" i="9" s="1"/>
  <c r="P281" i="9"/>
  <c r="O281" i="9"/>
  <c r="O278" i="9"/>
  <c r="N278" i="9"/>
  <c r="M278" i="9"/>
  <c r="P278" i="9" s="1"/>
  <c r="L278" i="9"/>
  <c r="J276" i="9"/>
  <c r="I271" i="9"/>
  <c r="N269" i="9"/>
  <c r="N267" i="9" s="1"/>
  <c r="M269" i="9"/>
  <c r="M267" i="9" s="1"/>
  <c r="P267" i="9" s="1"/>
  <c r="L269" i="9"/>
  <c r="P268" i="9"/>
  <c r="O268" i="9"/>
  <c r="N266" i="9"/>
  <c r="M266" i="9"/>
  <c r="M264" i="9" s="1"/>
  <c r="L266" i="9"/>
  <c r="P265" i="9"/>
  <c r="O265" i="9"/>
  <c r="N262" i="9"/>
  <c r="M262" i="9"/>
  <c r="L262" i="9"/>
  <c r="O262" i="9" s="1"/>
  <c r="J260" i="9"/>
  <c r="K258" i="9"/>
  <c r="K257" i="9"/>
  <c r="I255" i="9"/>
  <c r="I248" i="9" s="1"/>
  <c r="L253" i="9"/>
  <c r="L252" i="9"/>
  <c r="L251" i="9"/>
  <c r="L250" i="9"/>
  <c r="P249" i="9"/>
  <c r="N249" i="9"/>
  <c r="J248" i="9"/>
  <c r="J226" i="9" s="1"/>
  <c r="J180" i="9" s="1"/>
  <c r="K247" i="9"/>
  <c r="K246" i="9"/>
  <c r="I244" i="9"/>
  <c r="L242" i="9"/>
  <c r="L241" i="9"/>
  <c r="L240" i="9"/>
  <c r="L239" i="9"/>
  <c r="P238" i="9"/>
  <c r="N238" i="9"/>
  <c r="N227" i="9" s="1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I190" i="9" s="1"/>
  <c r="P191" i="9"/>
  <c r="L191" i="9"/>
  <c r="O191" i="9" s="1"/>
  <c r="J190" i="9"/>
  <c r="N189" i="9"/>
  <c r="N187" i="9" s="1"/>
  <c r="M189" i="9"/>
  <c r="P189" i="9" s="1"/>
  <c r="L189" i="9"/>
  <c r="P188" i="9"/>
  <c r="O188" i="9"/>
  <c r="N186" i="9"/>
  <c r="M186" i="9"/>
  <c r="M184" i="9" s="1"/>
  <c r="L186" i="9"/>
  <c r="P185" i="9"/>
  <c r="O185" i="9"/>
  <c r="N182" i="9"/>
  <c r="M182" i="9"/>
  <c r="P182" i="9" s="1"/>
  <c r="L182" i="9"/>
  <c r="J177" i="9"/>
  <c r="I176" i="9"/>
  <c r="I174" i="9" s="1"/>
  <c r="J174" i="9"/>
  <c r="N173" i="9"/>
  <c r="N171" i="9" s="1"/>
  <c r="M173" i="9"/>
  <c r="L173" i="9"/>
  <c r="P172" i="9"/>
  <c r="O172" i="9"/>
  <c r="N170" i="9"/>
  <c r="N168" i="9" s="1"/>
  <c r="M170" i="9"/>
  <c r="L170" i="9"/>
  <c r="P169" i="9"/>
  <c r="O169" i="9"/>
  <c r="N166" i="9"/>
  <c r="M166" i="9"/>
  <c r="P166" i="9" s="1"/>
  <c r="L166" i="9"/>
  <c r="J164" i="9"/>
  <c r="I159" i="9"/>
  <c r="N157" i="9"/>
  <c r="M157" i="9"/>
  <c r="M155" i="9" s="1"/>
  <c r="P155" i="9" s="1"/>
  <c r="L157" i="9"/>
  <c r="P156" i="9"/>
  <c r="O156" i="9"/>
  <c r="N154" i="9"/>
  <c r="N152" i="9" s="1"/>
  <c r="M154" i="9"/>
  <c r="M152" i="9" s="1"/>
  <c r="L154" i="9"/>
  <c r="L152" i="9" s="1"/>
  <c r="O152" i="9" s="1"/>
  <c r="P153" i="9"/>
  <c r="O153" i="9"/>
  <c r="N150" i="9"/>
  <c r="M150" i="9"/>
  <c r="P150" i="9" s="1"/>
  <c r="L150" i="9"/>
  <c r="O150" i="9" s="1"/>
  <c r="J148" i="9"/>
  <c r="I146" i="9"/>
  <c r="I145" i="9"/>
  <c r="I143" i="9" s="1"/>
  <c r="I144" i="9"/>
  <c r="K144" i="9" s="1"/>
  <c r="N140" i="9"/>
  <c r="N138" i="9" s="1"/>
  <c r="M140" i="9"/>
  <c r="L140" i="9"/>
  <c r="O140" i="9" s="1"/>
  <c r="P139" i="9"/>
  <c r="O139" i="9"/>
  <c r="N137" i="9"/>
  <c r="M137" i="9"/>
  <c r="M135" i="9" s="1"/>
  <c r="P135" i="9" s="1"/>
  <c r="L137" i="9"/>
  <c r="O137" i="9" s="1"/>
  <c r="P136" i="9"/>
  <c r="O136" i="9"/>
  <c r="P133" i="9"/>
  <c r="O133" i="9"/>
  <c r="N133" i="9"/>
  <c r="M133" i="9"/>
  <c r="L133" i="9"/>
  <c r="J130" i="9"/>
  <c r="N127" i="9"/>
  <c r="N125" i="9" s="1"/>
  <c r="M127" i="9"/>
  <c r="M125" i="9" s="1"/>
  <c r="P125" i="9" s="1"/>
  <c r="L127" i="9"/>
  <c r="P126" i="9"/>
  <c r="O126" i="9"/>
  <c r="N124" i="9"/>
  <c r="N122" i="9" s="1"/>
  <c r="M124" i="9"/>
  <c r="L124" i="9"/>
  <c r="P123" i="9"/>
  <c r="O123" i="9"/>
  <c r="N120" i="9"/>
  <c r="M120" i="9"/>
  <c r="P120" i="9" s="1"/>
  <c r="L120" i="9"/>
  <c r="O120" i="9" s="1"/>
  <c r="I116" i="9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I99" i="9"/>
  <c r="J98" i="9"/>
  <c r="J86" i="9" s="1"/>
  <c r="I98" i="9"/>
  <c r="I86" i="9" s="1"/>
  <c r="K86" i="9" s="1"/>
  <c r="N96" i="9"/>
  <c r="N94" i="9" s="1"/>
  <c r="M96" i="9"/>
  <c r="P96" i="9" s="1"/>
  <c r="L96" i="9"/>
  <c r="P95" i="9"/>
  <c r="O95" i="9"/>
  <c r="N93" i="9"/>
  <c r="N91" i="9" s="1"/>
  <c r="M93" i="9"/>
  <c r="L93" i="9"/>
  <c r="P92" i="9"/>
  <c r="O92" i="9"/>
  <c r="P89" i="9"/>
  <c r="N89" i="9"/>
  <c r="M89" i="9"/>
  <c r="L89" i="9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K79" i="9" s="1"/>
  <c r="I78" i="9"/>
  <c r="J77" i="9"/>
  <c r="J76" i="9"/>
  <c r="J64" i="9" s="1"/>
  <c r="N74" i="9"/>
  <c r="N72" i="9" s="1"/>
  <c r="M74" i="9"/>
  <c r="P74" i="9" s="1"/>
  <c r="L74" i="9"/>
  <c r="O74" i="9" s="1"/>
  <c r="P73" i="9"/>
  <c r="O73" i="9"/>
  <c r="N71" i="9"/>
  <c r="N69" i="9" s="1"/>
  <c r="M71" i="9"/>
  <c r="P71" i="9" s="1"/>
  <c r="L71" i="9"/>
  <c r="O71" i="9" s="1"/>
  <c r="P70" i="9"/>
  <c r="O70" i="9"/>
  <c r="P67" i="9"/>
  <c r="O67" i="9"/>
  <c r="N67" i="9"/>
  <c r="M67" i="9"/>
  <c r="L67" i="9"/>
  <c r="J65" i="9"/>
  <c r="N61" i="9"/>
  <c r="M61" i="9"/>
  <c r="M59" i="9" s="1"/>
  <c r="P59" i="9" s="1"/>
  <c r="L61" i="9"/>
  <c r="P60" i="9"/>
  <c r="O60" i="9"/>
  <c r="N58" i="9"/>
  <c r="N56" i="9" s="1"/>
  <c r="M58" i="9"/>
  <c r="M56" i="9" s="1"/>
  <c r="L58" i="9"/>
  <c r="L56" i="9" s="1"/>
  <c r="P57" i="9"/>
  <c r="O57" i="9"/>
  <c r="N54" i="9"/>
  <c r="M54" i="9"/>
  <c r="P54" i="9" s="1"/>
  <c r="L54" i="9"/>
  <c r="O54" i="9" s="1"/>
  <c r="N49" i="9"/>
  <c r="N47" i="9" s="1"/>
  <c r="M49" i="9"/>
  <c r="M47" i="9" s="1"/>
  <c r="P47" i="9" s="1"/>
  <c r="L49" i="9"/>
  <c r="L47" i="9" s="1"/>
  <c r="O47" i="9" s="1"/>
  <c r="P48" i="9"/>
  <c r="O48" i="9"/>
  <c r="N46" i="9"/>
  <c r="N44" i="9" s="1"/>
  <c r="M46" i="9"/>
  <c r="L46" i="9"/>
  <c r="P45" i="9"/>
  <c r="O45" i="9"/>
  <c r="P42" i="9"/>
  <c r="O42" i="9"/>
  <c r="N42" i="9"/>
  <c r="M42" i="9"/>
  <c r="L42" i="9"/>
  <c r="N36" i="9"/>
  <c r="M36" i="9"/>
  <c r="P36" i="9" s="1"/>
  <c r="N35" i="9"/>
  <c r="N34" i="9" s="1"/>
  <c r="M35" i="9"/>
  <c r="L35" i="9"/>
  <c r="O35" i="9" s="1"/>
  <c r="P33" i="9"/>
  <c r="N33" i="9"/>
  <c r="M33" i="9"/>
  <c r="P32" i="9"/>
  <c r="O32" i="9"/>
  <c r="N32" i="9"/>
  <c r="N29" i="9" s="1"/>
  <c r="M32" i="9"/>
  <c r="L32" i="9"/>
  <c r="N31" i="9"/>
  <c r="M31" i="9"/>
  <c r="P31" i="9" s="1"/>
  <c r="N30" i="9"/>
  <c r="M30" i="9"/>
  <c r="P30" i="9" s="1"/>
  <c r="M29" i="9"/>
  <c r="L29" i="9"/>
  <c r="O29" i="9" s="1"/>
  <c r="P25" i="9"/>
  <c r="O25" i="9"/>
  <c r="N25" i="9"/>
  <c r="N15" i="9" s="1"/>
  <c r="M25" i="9"/>
  <c r="L25" i="9"/>
  <c r="N22" i="9"/>
  <c r="M22" i="9"/>
  <c r="L22" i="9"/>
  <c r="N19" i="9"/>
  <c r="M15" i="9"/>
  <c r="L15" i="9"/>
  <c r="O15" i="9" s="1"/>
  <c r="N12" i="9"/>
  <c r="N9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N805" i="8" s="1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L791" i="8"/>
  <c r="L788" i="8" s="1"/>
  <c r="O788" i="8" s="1"/>
  <c r="P790" i="8"/>
  <c r="O790" i="8"/>
  <c r="P789" i="8"/>
  <c r="M789" i="8"/>
  <c r="M788" i="8"/>
  <c r="P787" i="8"/>
  <c r="N787" i="8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N757" i="8" s="1"/>
  <c r="P758" i="8"/>
  <c r="O758" i="8"/>
  <c r="O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O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P690" i="8"/>
  <c r="N690" i="8"/>
  <c r="N687" i="8" s="1"/>
  <c r="L690" i="8"/>
  <c r="O690" i="8" s="1"/>
  <c r="P688" i="8"/>
  <c r="N688" i="8"/>
  <c r="M688" i="8"/>
  <c r="M687" i="8"/>
  <c r="P686" i="8"/>
  <c r="N686" i="8"/>
  <c r="M686" i="8"/>
  <c r="L686" i="8"/>
  <c r="J679" i="8"/>
  <c r="J678" i="8" s="1"/>
  <c r="I678" i="8"/>
  <c r="K678" i="8" s="1"/>
  <c r="J675" i="8"/>
  <c r="I671" i="8"/>
  <c r="K671" i="8" s="1"/>
  <c r="I670" i="8"/>
  <c r="K670" i="8" s="1"/>
  <c r="J669" i="8"/>
  <c r="I669" i="8"/>
  <c r="K674" i="8" s="1"/>
  <c r="P667" i="8"/>
  <c r="O667" i="8"/>
  <c r="P666" i="8"/>
  <c r="O666" i="8"/>
  <c r="P665" i="8"/>
  <c r="N665" i="8"/>
  <c r="M665" i="8"/>
  <c r="L665" i="8"/>
  <c r="O665" i="8" s="1"/>
  <c r="P660" i="8"/>
  <c r="N660" i="8"/>
  <c r="L660" i="8"/>
  <c r="O660" i="8" s="1"/>
  <c r="P659" i="8"/>
  <c r="O659" i="8"/>
  <c r="N658" i="8"/>
  <c r="M658" i="8"/>
  <c r="P658" i="8" s="1"/>
  <c r="P657" i="8"/>
  <c r="N657" i="8"/>
  <c r="M657" i="8"/>
  <c r="O656" i="8"/>
  <c r="N656" i="8"/>
  <c r="M656" i="8"/>
  <c r="M655" i="8" s="1"/>
  <c r="P655" i="8" s="1"/>
  <c r="L656" i="8"/>
  <c r="N655" i="8"/>
  <c r="J654" i="8"/>
  <c r="K652" i="8"/>
  <c r="J652" i="8"/>
  <c r="J651" i="8"/>
  <c r="J628" i="8" s="1"/>
  <c r="I651" i="8"/>
  <c r="I628" i="8" s="1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P634" i="8"/>
  <c r="N634" i="8"/>
  <c r="L634" i="8"/>
  <c r="P633" i="8"/>
  <c r="O633" i="8"/>
  <c r="N632" i="8"/>
  <c r="M632" i="8"/>
  <c r="P632" i="8" s="1"/>
  <c r="P631" i="8"/>
  <c r="N631" i="8"/>
  <c r="M631" i="8"/>
  <c r="O630" i="8"/>
  <c r="N630" i="8"/>
  <c r="M630" i="8"/>
  <c r="P630" i="8" s="1"/>
  <c r="L630" i="8"/>
  <c r="N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K594" i="8" s="1"/>
  <c r="J593" i="8"/>
  <c r="J592" i="8" s="1"/>
  <c r="I593" i="8"/>
  <c r="J583" i="8"/>
  <c r="J582" i="8"/>
  <c r="J576" i="8" s="1"/>
  <c r="J577" i="8"/>
  <c r="I577" i="8"/>
  <c r="K577" i="8" s="1"/>
  <c r="I576" i="8"/>
  <c r="I559" i="8" s="1"/>
  <c r="J569" i="8"/>
  <c r="I569" i="8"/>
  <c r="K569" i="8" s="1"/>
  <c r="J568" i="8"/>
  <c r="I568" i="8"/>
  <c r="K568" i="8" s="1"/>
  <c r="J561" i="8"/>
  <c r="I561" i="8"/>
  <c r="J560" i="8"/>
  <c r="I560" i="8"/>
  <c r="K560" i="8" s="1"/>
  <c r="J559" i="8"/>
  <c r="J543" i="8" s="1"/>
  <c r="P557" i="8"/>
  <c r="L557" i="8"/>
  <c r="O557" i="8" s="1"/>
  <c r="P556" i="8"/>
  <c r="O556" i="8"/>
  <c r="N555" i="8"/>
  <c r="M555" i="8"/>
  <c r="P555" i="8" s="1"/>
  <c r="P549" i="8"/>
  <c r="N549" i="8"/>
  <c r="N546" i="8" s="1"/>
  <c r="L549" i="8"/>
  <c r="O549" i="8" s="1"/>
  <c r="P548" i="8"/>
  <c r="O548" i="8"/>
  <c r="P547" i="8"/>
  <c r="N547" i="8"/>
  <c r="M547" i="8"/>
  <c r="M546" i="8"/>
  <c r="P546" i="8" s="1"/>
  <c r="N545" i="8"/>
  <c r="L545" i="8"/>
  <c r="I542" i="8"/>
  <c r="K542" i="8" s="1"/>
  <c r="I541" i="8"/>
  <c r="K541" i="8" s="1"/>
  <c r="I540" i="8"/>
  <c r="K540" i="8" s="1"/>
  <c r="I539" i="8"/>
  <c r="I538" i="8"/>
  <c r="K538" i="8" s="1"/>
  <c r="I537" i="8"/>
  <c r="P535" i="8"/>
  <c r="L535" i="8"/>
  <c r="O535" i="8" s="1"/>
  <c r="P534" i="8"/>
  <c r="O534" i="8"/>
  <c r="N533" i="8"/>
  <c r="M533" i="8"/>
  <c r="P533" i="8" s="1"/>
  <c r="P528" i="8"/>
  <c r="N528" i="8"/>
  <c r="N525" i="8" s="1"/>
  <c r="L528" i="8"/>
  <c r="O528" i="8" s="1"/>
  <c r="P527" i="8"/>
  <c r="O527" i="8"/>
  <c r="P526" i="8"/>
  <c r="N526" i="8"/>
  <c r="M526" i="8"/>
  <c r="M525" i="8"/>
  <c r="P524" i="8"/>
  <c r="N524" i="8"/>
  <c r="N523" i="8" s="1"/>
  <c r="M524" i="8"/>
  <c r="L524" i="8"/>
  <c r="K517" i="8"/>
  <c r="J517" i="8"/>
  <c r="J501" i="8" s="1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P506" i="8"/>
  <c r="O506" i="8"/>
  <c r="P505" i="8"/>
  <c r="N505" i="8"/>
  <c r="M505" i="8"/>
  <c r="L505" i="8"/>
  <c r="O505" i="8" s="1"/>
  <c r="O504" i="8"/>
  <c r="N504" i="8"/>
  <c r="M504" i="8"/>
  <c r="P504" i="8" s="1"/>
  <c r="L504" i="8"/>
  <c r="P503" i="8"/>
  <c r="N503" i="8"/>
  <c r="N502" i="8" s="1"/>
  <c r="M503" i="8"/>
  <c r="L503" i="8"/>
  <c r="O503" i="8" s="1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N477" i="8"/>
  <c r="M477" i="8"/>
  <c r="P477" i="8" s="1"/>
  <c r="P472" i="8"/>
  <c r="N472" i="8"/>
  <c r="L472" i="8"/>
  <c r="L470" i="8" s="1"/>
  <c r="P471" i="8"/>
  <c r="O471" i="8"/>
  <c r="P470" i="8"/>
  <c r="N470" i="8"/>
  <c r="M470" i="8"/>
  <c r="M469" i="8"/>
  <c r="P469" i="8" s="1"/>
  <c r="P468" i="8"/>
  <c r="N468" i="8"/>
  <c r="M468" i="8"/>
  <c r="L468" i="8"/>
  <c r="M467" i="8"/>
  <c r="P467" i="8" s="1"/>
  <c r="J466" i="8"/>
  <c r="I466" i="8"/>
  <c r="K466" i="8" s="1"/>
  <c r="J465" i="8"/>
  <c r="I465" i="8"/>
  <c r="K465" i="8" s="1"/>
  <c r="I464" i="8"/>
  <c r="I463" i="8"/>
  <c r="I462" i="8"/>
  <c r="I443" i="8" s="1"/>
  <c r="K443" i="8" s="1"/>
  <c r="I460" i="8"/>
  <c r="K458" i="8"/>
  <c r="P456" i="8"/>
  <c r="L456" i="8"/>
  <c r="L454" i="8" s="1"/>
  <c r="O454" i="8" s="1"/>
  <c r="P455" i="8"/>
  <c r="O455" i="8"/>
  <c r="P454" i="8"/>
  <c r="N454" i="8"/>
  <c r="M454" i="8"/>
  <c r="P449" i="8"/>
  <c r="N449" i="8"/>
  <c r="L449" i="8"/>
  <c r="L447" i="8" s="1"/>
  <c r="O447" i="8" s="1"/>
  <c r="P448" i="8"/>
  <c r="O448" i="8"/>
  <c r="P447" i="8"/>
  <c r="N447" i="8"/>
  <c r="M447" i="8"/>
  <c r="P446" i="8"/>
  <c r="N446" i="8"/>
  <c r="M446" i="8"/>
  <c r="O445" i="8"/>
  <c r="N445" i="8"/>
  <c r="N444" i="8" s="1"/>
  <c r="M445" i="8"/>
  <c r="P445" i="8" s="1"/>
  <c r="L445" i="8"/>
  <c r="P444" i="8"/>
  <c r="M444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I433" i="8" s="1"/>
  <c r="I417" i="8" s="1"/>
  <c r="J434" i="8"/>
  <c r="P431" i="8"/>
  <c r="L431" i="8"/>
  <c r="O431" i="8" s="1"/>
  <c r="P430" i="8"/>
  <c r="O430" i="8"/>
  <c r="P429" i="8"/>
  <c r="N429" i="8"/>
  <c r="M429" i="8"/>
  <c r="P424" i="8"/>
  <c r="N424" i="8"/>
  <c r="L424" i="8"/>
  <c r="P423" i="8"/>
  <c r="O423" i="8"/>
  <c r="P422" i="8"/>
  <c r="N422" i="8"/>
  <c r="M422" i="8"/>
  <c r="P421" i="8"/>
  <c r="N421" i="8"/>
  <c r="N419" i="8" s="1"/>
  <c r="M421" i="8"/>
  <c r="O420" i="8"/>
  <c r="N420" i="8"/>
  <c r="M420" i="8"/>
  <c r="P420" i="8" s="1"/>
  <c r="L420" i="8"/>
  <c r="M419" i="8"/>
  <c r="P419" i="8" s="1"/>
  <c r="J418" i="8"/>
  <c r="K413" i="8"/>
  <c r="K412" i="8"/>
  <c r="N410" i="8"/>
  <c r="N408" i="8" s="1"/>
  <c r="M410" i="8"/>
  <c r="P410" i="8" s="1"/>
  <c r="L410" i="8"/>
  <c r="L408" i="8" s="1"/>
  <c r="O408" i="8" s="1"/>
  <c r="P409" i="8"/>
  <c r="O409" i="8"/>
  <c r="N407" i="8"/>
  <c r="N405" i="8" s="1"/>
  <c r="M407" i="8"/>
  <c r="P407" i="8" s="1"/>
  <c r="L407" i="8"/>
  <c r="P406" i="8"/>
  <c r="O406" i="8"/>
  <c r="N403" i="8"/>
  <c r="M403" i="8"/>
  <c r="L403" i="8"/>
  <c r="O403" i="8" s="1"/>
  <c r="K401" i="8"/>
  <c r="J401" i="8"/>
  <c r="I401" i="8"/>
  <c r="K400" i="8"/>
  <c r="K399" i="8"/>
  <c r="N397" i="8"/>
  <c r="N395" i="8" s="1"/>
  <c r="M397" i="8"/>
  <c r="P397" i="8" s="1"/>
  <c r="L397" i="8"/>
  <c r="O397" i="8" s="1"/>
  <c r="P396" i="8"/>
  <c r="O396" i="8"/>
  <c r="N394" i="8"/>
  <c r="M394" i="8"/>
  <c r="P394" i="8" s="1"/>
  <c r="L394" i="8"/>
  <c r="O394" i="8" s="1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M353" i="8"/>
  <c r="L353" i="8"/>
  <c r="L351" i="8" s="1"/>
  <c r="P352" i="8"/>
  <c r="O352" i="8"/>
  <c r="N350" i="8"/>
  <c r="N348" i="8" s="1"/>
  <c r="M350" i="8"/>
  <c r="L350" i="8"/>
  <c r="L348" i="8" s="1"/>
  <c r="P349" i="8"/>
  <c r="O349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M336" i="8"/>
  <c r="P336" i="8" s="1"/>
  <c r="L336" i="8"/>
  <c r="O336" i="8" s="1"/>
  <c r="P335" i="8"/>
  <c r="O335" i="8"/>
  <c r="N333" i="8"/>
  <c r="N331" i="8" s="1"/>
  <c r="M333" i="8"/>
  <c r="L333" i="8"/>
  <c r="P332" i="8"/>
  <c r="O332" i="8"/>
  <c r="O329" i="8"/>
  <c r="N329" i="8"/>
  <c r="M329" i="8"/>
  <c r="L329" i="8"/>
  <c r="I327" i="8"/>
  <c r="I325" i="8"/>
  <c r="I314" i="8" s="1"/>
  <c r="K314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L320" i="8"/>
  <c r="L318" i="8" s="1"/>
  <c r="O318" i="8" s="1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I297" i="8" s="1"/>
  <c r="K297" i="8" s="1"/>
  <c r="N306" i="8"/>
  <c r="N304" i="8" s="1"/>
  <c r="M306" i="8"/>
  <c r="L306" i="8"/>
  <c r="L304" i="8" s="1"/>
  <c r="O304" i="8" s="1"/>
  <c r="P305" i="8"/>
  <c r="O305" i="8"/>
  <c r="N303" i="8"/>
  <c r="N301" i="8" s="1"/>
  <c r="M303" i="8"/>
  <c r="L303" i="8"/>
  <c r="L301" i="8" s="1"/>
  <c r="P302" i="8"/>
  <c r="O302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I287" i="8"/>
  <c r="K287" i="8" s="1"/>
  <c r="N285" i="8"/>
  <c r="N283" i="8" s="1"/>
  <c r="M285" i="8"/>
  <c r="L285" i="8"/>
  <c r="L283" i="8" s="1"/>
  <c r="O283" i="8" s="1"/>
  <c r="P284" i="8"/>
  <c r="O284" i="8"/>
  <c r="N282" i="8"/>
  <c r="N280" i="8" s="1"/>
  <c r="M282" i="8"/>
  <c r="M280" i="8" s="1"/>
  <c r="L282" i="8"/>
  <c r="L280" i="8" s="1"/>
  <c r="P281" i="8"/>
  <c r="O281" i="8"/>
  <c r="N278" i="8"/>
  <c r="M278" i="8"/>
  <c r="P278" i="8" s="1"/>
  <c r="L278" i="8"/>
  <c r="J276" i="8"/>
  <c r="I271" i="8"/>
  <c r="I260" i="8" s="1"/>
  <c r="N269" i="8"/>
  <c r="N267" i="8" s="1"/>
  <c r="M269" i="8"/>
  <c r="M267" i="8" s="1"/>
  <c r="P267" i="8" s="1"/>
  <c r="L269" i="8"/>
  <c r="L267" i="8" s="1"/>
  <c r="O267" i="8" s="1"/>
  <c r="P268" i="8"/>
  <c r="O268" i="8"/>
  <c r="N266" i="8"/>
  <c r="N264" i="8" s="1"/>
  <c r="M266" i="8"/>
  <c r="M264" i="8" s="1"/>
  <c r="L266" i="8"/>
  <c r="L264" i="8" s="1"/>
  <c r="P265" i="8"/>
  <c r="O265" i="8"/>
  <c r="N262" i="8"/>
  <c r="M262" i="8"/>
  <c r="P262" i="8" s="1"/>
  <c r="L262" i="8"/>
  <c r="O262" i="8" s="1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J237" i="8"/>
  <c r="J236" i="8"/>
  <c r="I236" i="8"/>
  <c r="K236" i="8" s="1"/>
  <c r="J235" i="8"/>
  <c r="K235" i="8" s="1"/>
  <c r="I235" i="8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P188" i="8"/>
  <c r="O188" i="8"/>
  <c r="N186" i="8"/>
  <c r="N184" i="8" s="1"/>
  <c r="M186" i="8"/>
  <c r="L186" i="8"/>
  <c r="L184" i="8" s="1"/>
  <c r="P185" i="8"/>
  <c r="O185" i="8"/>
  <c r="P182" i="8"/>
  <c r="N182" i="8"/>
  <c r="M182" i="8"/>
  <c r="L182" i="8"/>
  <c r="J177" i="8"/>
  <c r="J164" i="8" s="1"/>
  <c r="I176" i="8"/>
  <c r="J174" i="8"/>
  <c r="N173" i="8"/>
  <c r="N171" i="8" s="1"/>
  <c r="M173" i="8"/>
  <c r="L173" i="8"/>
  <c r="P172" i="8"/>
  <c r="O172" i="8"/>
  <c r="N170" i="8"/>
  <c r="M170" i="8"/>
  <c r="M168" i="8" s="1"/>
  <c r="L170" i="8"/>
  <c r="L168" i="8" s="1"/>
  <c r="P169" i="8"/>
  <c r="O169" i="8"/>
  <c r="P166" i="8"/>
  <c r="O166" i="8"/>
  <c r="N166" i="8"/>
  <c r="M166" i="8"/>
  <c r="L166" i="8"/>
  <c r="I159" i="8"/>
  <c r="K159" i="8" s="1"/>
  <c r="N157" i="8"/>
  <c r="N155" i="8" s="1"/>
  <c r="M157" i="8"/>
  <c r="P157" i="8" s="1"/>
  <c r="L157" i="8"/>
  <c r="L155" i="8" s="1"/>
  <c r="O155" i="8" s="1"/>
  <c r="P156" i="8"/>
  <c r="O156" i="8"/>
  <c r="N154" i="8"/>
  <c r="N152" i="8" s="1"/>
  <c r="M154" i="8"/>
  <c r="M152" i="8" s="1"/>
  <c r="L154" i="8"/>
  <c r="L152" i="8" s="1"/>
  <c r="P153" i="8"/>
  <c r="O153" i="8"/>
  <c r="N150" i="8"/>
  <c r="M150" i="8"/>
  <c r="P150" i="8" s="1"/>
  <c r="L150" i="8"/>
  <c r="O150" i="8" s="1"/>
  <c r="J148" i="8"/>
  <c r="I146" i="8"/>
  <c r="I145" i="8"/>
  <c r="K145" i="8" s="1"/>
  <c r="I144" i="8"/>
  <c r="K144" i="8" s="1"/>
  <c r="N140" i="8"/>
  <c r="N138" i="8" s="1"/>
  <c r="M140" i="8"/>
  <c r="P140" i="8" s="1"/>
  <c r="L140" i="8"/>
  <c r="L138" i="8" s="1"/>
  <c r="O138" i="8" s="1"/>
  <c r="P139" i="8"/>
  <c r="O139" i="8"/>
  <c r="N137" i="8"/>
  <c r="N135" i="8" s="1"/>
  <c r="M137" i="8"/>
  <c r="M135" i="8" s="1"/>
  <c r="P135" i="8" s="1"/>
  <c r="L137" i="8"/>
  <c r="L135" i="8" s="1"/>
  <c r="O135" i="8" s="1"/>
  <c r="P136" i="8"/>
  <c r="O136" i="8"/>
  <c r="O133" i="8"/>
  <c r="N133" i="8"/>
  <c r="M133" i="8"/>
  <c r="P133" i="8" s="1"/>
  <c r="L133" i="8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P124" i="8" s="1"/>
  <c r="L124" i="8"/>
  <c r="L122" i="8" s="1"/>
  <c r="O122" i="8" s="1"/>
  <c r="P123" i="8"/>
  <c r="O123" i="8"/>
  <c r="N120" i="8"/>
  <c r="M120" i="8"/>
  <c r="P120" i="8" s="1"/>
  <c r="L120" i="8"/>
  <c r="O120" i="8" s="1"/>
  <c r="J118" i="8"/>
  <c r="K118" i="8" s="1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J87" i="8" s="1"/>
  <c r="I99" i="8"/>
  <c r="I87" i="8" s="1"/>
  <c r="J98" i="8"/>
  <c r="I98" i="8"/>
  <c r="I86" i="8" s="1"/>
  <c r="K86" i="8" s="1"/>
  <c r="N96" i="8"/>
  <c r="N94" i="8" s="1"/>
  <c r="M96" i="8"/>
  <c r="M94" i="8" s="1"/>
  <c r="P94" i="8" s="1"/>
  <c r="L96" i="8"/>
  <c r="P95" i="8"/>
  <c r="O95" i="8"/>
  <c r="N93" i="8"/>
  <c r="N91" i="8" s="1"/>
  <c r="M93" i="8"/>
  <c r="M91" i="8" s="1"/>
  <c r="L93" i="8"/>
  <c r="L91" i="8" s="1"/>
  <c r="P92" i="8"/>
  <c r="O92" i="8"/>
  <c r="N89" i="8"/>
  <c r="M89" i="8"/>
  <c r="P89" i="8" s="1"/>
  <c r="L89" i="8"/>
  <c r="O89" i="8" s="1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76" i="8"/>
  <c r="J64" i="8" s="1"/>
  <c r="N74" i="8"/>
  <c r="N72" i="8" s="1"/>
  <c r="M74" i="8"/>
  <c r="P74" i="8" s="1"/>
  <c r="L74" i="8"/>
  <c r="O74" i="8" s="1"/>
  <c r="P73" i="8"/>
  <c r="O73" i="8"/>
  <c r="N71" i="8"/>
  <c r="N69" i="8" s="1"/>
  <c r="M71" i="8"/>
  <c r="L71" i="8"/>
  <c r="L69" i="8" s="1"/>
  <c r="P70" i="8"/>
  <c r="O70" i="8"/>
  <c r="N67" i="8"/>
  <c r="M67" i="8"/>
  <c r="L67" i="8"/>
  <c r="O67" i="8" s="1"/>
  <c r="J65" i="8"/>
  <c r="N61" i="8"/>
  <c r="M61" i="8"/>
  <c r="L61" i="8"/>
  <c r="L59" i="8" s="1"/>
  <c r="P60" i="8"/>
  <c r="O60" i="8"/>
  <c r="N58" i="8"/>
  <c r="M58" i="8"/>
  <c r="L58" i="8"/>
  <c r="L56" i="8" s="1"/>
  <c r="P57" i="8"/>
  <c r="O57" i="8"/>
  <c r="P54" i="8"/>
  <c r="N54" i="8"/>
  <c r="M54" i="8"/>
  <c r="L54" i="8"/>
  <c r="O54" i="8" s="1"/>
  <c r="N49" i="8"/>
  <c r="N47" i="8" s="1"/>
  <c r="M49" i="8"/>
  <c r="P49" i="8" s="1"/>
  <c r="L49" i="8"/>
  <c r="O49" i="8" s="1"/>
  <c r="P48" i="8"/>
  <c r="O48" i="8"/>
  <c r="N46" i="8"/>
  <c r="N44" i="8" s="1"/>
  <c r="M46" i="8"/>
  <c r="M44" i="8" s="1"/>
  <c r="L46" i="8"/>
  <c r="P45" i="8"/>
  <c r="O45" i="8"/>
  <c r="N42" i="8"/>
  <c r="M42" i="8"/>
  <c r="P42" i="8" s="1"/>
  <c r="L42" i="8"/>
  <c r="O42" i="8" s="1"/>
  <c r="P36" i="8"/>
  <c r="N36" i="8"/>
  <c r="M36" i="8"/>
  <c r="P35" i="8"/>
  <c r="O35" i="8"/>
  <c r="N35" i="8"/>
  <c r="M35" i="8"/>
  <c r="L35" i="8"/>
  <c r="N34" i="8"/>
  <c r="M34" i="8"/>
  <c r="P34" i="8" s="1"/>
  <c r="N33" i="8"/>
  <c r="N30" i="8" s="1"/>
  <c r="N28" i="8" s="1"/>
  <c r="M33" i="8"/>
  <c r="P33" i="8" s="1"/>
  <c r="N32" i="8"/>
  <c r="N31" i="8" s="1"/>
  <c r="M32" i="8"/>
  <c r="P32" i="8" s="1"/>
  <c r="L32" i="8"/>
  <c r="O32" i="8" s="1"/>
  <c r="N29" i="8"/>
  <c r="N25" i="8"/>
  <c r="M25" i="8"/>
  <c r="P25" i="8" s="1"/>
  <c r="L25" i="8"/>
  <c r="O25" i="8" s="1"/>
  <c r="P22" i="8"/>
  <c r="O22" i="8"/>
  <c r="N22" i="8"/>
  <c r="N19" i="8" s="1"/>
  <c r="M22" i="8"/>
  <c r="L22" i="8"/>
  <c r="M19" i="8"/>
  <c r="P19" i="8" s="1"/>
  <c r="N15" i="8"/>
  <c r="M12" i="8"/>
  <c r="P12" i="8" s="1"/>
  <c r="L12" i="8"/>
  <c r="O12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P809" i="7"/>
  <c r="O809" i="7"/>
  <c r="P808" i="7"/>
  <c r="O808" i="7"/>
  <c r="N808" i="7"/>
  <c r="M808" i="7"/>
  <c r="L808" i="7"/>
  <c r="O807" i="7"/>
  <c r="N807" i="7"/>
  <c r="M807" i="7"/>
  <c r="P807" i="7" s="1"/>
  <c r="L807" i="7"/>
  <c r="N806" i="7"/>
  <c r="N805" i="7" s="1"/>
  <c r="M806" i="7"/>
  <c r="L806" i="7"/>
  <c r="K804" i="7"/>
  <c r="J804" i="7"/>
  <c r="J803" i="7"/>
  <c r="I803" i="7"/>
  <c r="K803" i="7" s="1"/>
  <c r="J802" i="7"/>
  <c r="J801" i="7"/>
  <c r="I801" i="7"/>
  <c r="K801" i="7" s="1"/>
  <c r="J800" i="7"/>
  <c r="P798" i="7"/>
  <c r="O798" i="7"/>
  <c r="P797" i="7"/>
  <c r="O797" i="7"/>
  <c r="N796" i="7"/>
  <c r="M796" i="7"/>
  <c r="P796" i="7" s="1"/>
  <c r="L796" i="7"/>
  <c r="O796" i="7" s="1"/>
  <c r="P791" i="7"/>
  <c r="N791" i="7"/>
  <c r="N788" i="7" s="1"/>
  <c r="L791" i="7"/>
  <c r="P790" i="7"/>
  <c r="O790" i="7"/>
  <c r="N789" i="7"/>
  <c r="M789" i="7"/>
  <c r="P789" i="7" s="1"/>
  <c r="P788" i="7"/>
  <c r="M788" i="7"/>
  <c r="P787" i="7"/>
  <c r="O787" i="7"/>
  <c r="N787" i="7"/>
  <c r="M787" i="7"/>
  <c r="L787" i="7"/>
  <c r="P786" i="7"/>
  <c r="N786" i="7"/>
  <c r="M786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M773" i="7"/>
  <c r="P773" i="7" s="1"/>
  <c r="L773" i="7"/>
  <c r="O773" i="7" s="1"/>
  <c r="M772" i="7"/>
  <c r="P772" i="7" s="1"/>
  <c r="L772" i="7"/>
  <c r="O772" i="7" s="1"/>
  <c r="P771" i="7"/>
  <c r="N771" i="7"/>
  <c r="M771" i="7"/>
  <c r="L771" i="7"/>
  <c r="O771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M757" i="7"/>
  <c r="P757" i="7" s="1"/>
  <c r="L757" i="7"/>
  <c r="O757" i="7" s="1"/>
  <c r="M756" i="7"/>
  <c r="P756" i="7" s="1"/>
  <c r="L756" i="7"/>
  <c r="O756" i="7" s="1"/>
  <c r="P755" i="7"/>
  <c r="N755" i="7"/>
  <c r="M755" i="7"/>
  <c r="L755" i="7"/>
  <c r="O755" i="7" s="1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M740" i="7"/>
  <c r="P740" i="7" s="1"/>
  <c r="L740" i="7"/>
  <c r="O740" i="7" s="1"/>
  <c r="M739" i="7"/>
  <c r="P739" i="7" s="1"/>
  <c r="L739" i="7"/>
  <c r="O739" i="7" s="1"/>
  <c r="P738" i="7"/>
  <c r="N738" i="7"/>
  <c r="M738" i="7"/>
  <c r="L738" i="7"/>
  <c r="O738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L690" i="7"/>
  <c r="L688" i="7" s="1"/>
  <c r="O688" i="7" s="1"/>
  <c r="M688" i="7"/>
  <c r="P688" i="7" s="1"/>
  <c r="P687" i="7"/>
  <c r="M687" i="7"/>
  <c r="P686" i="7"/>
  <c r="O686" i="7"/>
  <c r="N686" i="7"/>
  <c r="M686" i="7"/>
  <c r="L686" i="7"/>
  <c r="M685" i="7"/>
  <c r="P685" i="7" s="1"/>
  <c r="J679" i="7"/>
  <c r="J678" i="7"/>
  <c r="I678" i="7"/>
  <c r="K678" i="7" s="1"/>
  <c r="J675" i="7"/>
  <c r="I671" i="7"/>
  <c r="K671" i="7" s="1"/>
  <c r="I670" i="7"/>
  <c r="K670" i="7" s="1"/>
  <c r="J669" i="7"/>
  <c r="J654" i="7" s="1"/>
  <c r="I669" i="7"/>
  <c r="K672" i="7" s="1"/>
  <c r="P667" i="7"/>
  <c r="O667" i="7"/>
  <c r="P666" i="7"/>
  <c r="O666" i="7"/>
  <c r="P665" i="7"/>
  <c r="O665" i="7"/>
  <c r="N665" i="7"/>
  <c r="M665" i="7"/>
  <c r="L665" i="7"/>
  <c r="P660" i="7"/>
  <c r="N660" i="7"/>
  <c r="L660" i="7"/>
  <c r="L658" i="7" s="1"/>
  <c r="O658" i="7" s="1"/>
  <c r="P659" i="7"/>
  <c r="O659" i="7"/>
  <c r="N658" i="7"/>
  <c r="M658" i="7"/>
  <c r="P658" i="7" s="1"/>
  <c r="N657" i="7"/>
  <c r="N655" i="7" s="1"/>
  <c r="M657" i="7"/>
  <c r="P657" i="7" s="1"/>
  <c r="N656" i="7"/>
  <c r="M656" i="7"/>
  <c r="L656" i="7"/>
  <c r="O656" i="7" s="1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P634" i="7"/>
  <c r="N634" i="7"/>
  <c r="L634" i="7"/>
  <c r="O634" i="7" s="1"/>
  <c r="P633" i="7"/>
  <c r="O633" i="7"/>
  <c r="P632" i="7"/>
  <c r="N632" i="7"/>
  <c r="M632" i="7"/>
  <c r="P631" i="7"/>
  <c r="N631" i="7"/>
  <c r="M631" i="7"/>
  <c r="O630" i="7"/>
  <c r="N630" i="7"/>
  <c r="M630" i="7"/>
  <c r="P630" i="7" s="1"/>
  <c r="L630" i="7"/>
  <c r="N629" i="7"/>
  <c r="M629" i="7"/>
  <c r="P629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I594" i="7"/>
  <c r="I593" i="7"/>
  <c r="I592" i="7" s="1"/>
  <c r="J583" i="7"/>
  <c r="J577" i="7" s="1"/>
  <c r="J582" i="7"/>
  <c r="I577" i="7"/>
  <c r="J576" i="7"/>
  <c r="J559" i="7" s="1"/>
  <c r="I576" i="7"/>
  <c r="I559" i="7" s="1"/>
  <c r="I543" i="7" s="1"/>
  <c r="J569" i="7"/>
  <c r="I569" i="7"/>
  <c r="J568" i="7"/>
  <c r="I568" i="7"/>
  <c r="J561" i="7"/>
  <c r="I561" i="7"/>
  <c r="J560" i="7"/>
  <c r="I560" i="7"/>
  <c r="K560" i="7" s="1"/>
  <c r="P557" i="7"/>
  <c r="L557" i="7"/>
  <c r="L555" i="7" s="1"/>
  <c r="O555" i="7" s="1"/>
  <c r="P556" i="7"/>
  <c r="O556" i="7"/>
  <c r="N555" i="7"/>
  <c r="N545" i="7" s="1"/>
  <c r="N544" i="7" s="1"/>
  <c r="M555" i="7"/>
  <c r="P555" i="7" s="1"/>
  <c r="P549" i="7"/>
  <c r="N549" i="7"/>
  <c r="N546" i="7" s="1"/>
  <c r="L549" i="7"/>
  <c r="P548" i="7"/>
  <c r="O548" i="7"/>
  <c r="M547" i="7"/>
  <c r="P547" i="7" s="1"/>
  <c r="M546" i="7"/>
  <c r="P546" i="7" s="1"/>
  <c r="L545" i="7"/>
  <c r="J543" i="7"/>
  <c r="I542" i="7"/>
  <c r="K542" i="7" s="1"/>
  <c r="I541" i="7"/>
  <c r="K541" i="7" s="1"/>
  <c r="I540" i="7"/>
  <c r="K540" i="7" s="1"/>
  <c r="I539" i="7"/>
  <c r="K539" i="7" s="1"/>
  <c r="I538" i="7"/>
  <c r="I537" i="7"/>
  <c r="P535" i="7"/>
  <c r="L535" i="7"/>
  <c r="L533" i="7" s="1"/>
  <c r="O533" i="7" s="1"/>
  <c r="P534" i="7"/>
  <c r="O534" i="7"/>
  <c r="N533" i="7"/>
  <c r="M533" i="7"/>
  <c r="P533" i="7" s="1"/>
  <c r="P528" i="7"/>
  <c r="N528" i="7"/>
  <c r="N525" i="7" s="1"/>
  <c r="N523" i="7" s="1"/>
  <c r="L528" i="7"/>
  <c r="O528" i="7" s="1"/>
  <c r="P527" i="7"/>
  <c r="O527" i="7"/>
  <c r="P526" i="7"/>
  <c r="N526" i="7"/>
  <c r="M526" i="7"/>
  <c r="P525" i="7"/>
  <c r="M525" i="7"/>
  <c r="M523" i="7" s="1"/>
  <c r="P523" i="7" s="1"/>
  <c r="P524" i="7"/>
  <c r="O524" i="7"/>
  <c r="N524" i="7"/>
  <c r="M524" i="7"/>
  <c r="L524" i="7"/>
  <c r="K517" i="7"/>
  <c r="J517" i="7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5" i="7" s="1"/>
  <c r="P506" i="7"/>
  <c r="O506" i="7"/>
  <c r="P505" i="7"/>
  <c r="O505" i="7"/>
  <c r="M505" i="7"/>
  <c r="L505" i="7"/>
  <c r="O504" i="7"/>
  <c r="N504" i="7"/>
  <c r="M504" i="7"/>
  <c r="P504" i="7" s="1"/>
  <c r="L504" i="7"/>
  <c r="N503" i="7"/>
  <c r="M503" i="7"/>
  <c r="P503" i="7" s="1"/>
  <c r="L503" i="7"/>
  <c r="O503" i="7" s="1"/>
  <c r="M502" i="7"/>
  <c r="P502" i="7" s="1"/>
  <c r="L502" i="7"/>
  <c r="O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P472" i="7"/>
  <c r="N472" i="7"/>
  <c r="L472" i="7"/>
  <c r="P471" i="7"/>
  <c r="O471" i="7"/>
  <c r="P470" i="7"/>
  <c r="N470" i="7"/>
  <c r="M470" i="7"/>
  <c r="N469" i="7"/>
  <c r="M469" i="7"/>
  <c r="P469" i="7" s="1"/>
  <c r="N468" i="7"/>
  <c r="N467" i="7" s="1"/>
  <c r="M468" i="7"/>
  <c r="P468" i="7" s="1"/>
  <c r="L468" i="7"/>
  <c r="O468" i="7" s="1"/>
  <c r="J466" i="7"/>
  <c r="I466" i="7"/>
  <c r="K466" i="7" s="1"/>
  <c r="J465" i="7"/>
  <c r="I465" i="7"/>
  <c r="K465" i="7" s="1"/>
  <c r="I464" i="7"/>
  <c r="I463" i="7"/>
  <c r="I462" i="7"/>
  <c r="K462" i="7" s="1"/>
  <c r="I460" i="7"/>
  <c r="K458" i="7"/>
  <c r="P456" i="7"/>
  <c r="L456" i="7"/>
  <c r="P455" i="7"/>
  <c r="O455" i="7"/>
  <c r="N454" i="7"/>
  <c r="M454" i="7"/>
  <c r="P454" i="7" s="1"/>
  <c r="P449" i="7"/>
  <c r="N449" i="7"/>
  <c r="N446" i="7" s="1"/>
  <c r="L449" i="7"/>
  <c r="P448" i="7"/>
  <c r="O448" i="7"/>
  <c r="P447" i="7"/>
  <c r="N447" i="7"/>
  <c r="M447" i="7"/>
  <c r="P446" i="7"/>
  <c r="M446" i="7"/>
  <c r="O445" i="7"/>
  <c r="N445" i="7"/>
  <c r="M445" i="7"/>
  <c r="P445" i="7" s="1"/>
  <c r="L445" i="7"/>
  <c r="N444" i="7"/>
  <c r="M444" i="7"/>
  <c r="P444" i="7" s="1"/>
  <c r="J443" i="7"/>
  <c r="J442" i="7"/>
  <c r="I441" i="7"/>
  <c r="K441" i="7" s="1"/>
  <c r="I440" i="7"/>
  <c r="K440" i="7" s="1"/>
  <c r="I439" i="7"/>
  <c r="I438" i="7"/>
  <c r="K438" i="7" s="1"/>
  <c r="I437" i="7"/>
  <c r="K437" i="7" s="1"/>
  <c r="I435" i="7"/>
  <c r="I433" i="7" s="1"/>
  <c r="I417" i="7" s="1"/>
  <c r="J434" i="7"/>
  <c r="P431" i="7"/>
  <c r="L431" i="7"/>
  <c r="P430" i="7"/>
  <c r="O430" i="7"/>
  <c r="N429" i="7"/>
  <c r="M429" i="7"/>
  <c r="P429" i="7" s="1"/>
  <c r="P424" i="7"/>
  <c r="N424" i="7"/>
  <c r="N421" i="7" s="1"/>
  <c r="L424" i="7"/>
  <c r="O424" i="7" s="1"/>
  <c r="P423" i="7"/>
  <c r="O423" i="7"/>
  <c r="P422" i="7"/>
  <c r="N422" i="7"/>
  <c r="M422" i="7"/>
  <c r="P421" i="7"/>
  <c r="M421" i="7"/>
  <c r="P420" i="7"/>
  <c r="O420" i="7"/>
  <c r="N420" i="7"/>
  <c r="N419" i="7" s="1"/>
  <c r="M420" i="7"/>
  <c r="L420" i="7"/>
  <c r="M419" i="7"/>
  <c r="P419" i="7" s="1"/>
  <c r="J418" i="7"/>
  <c r="K413" i="7"/>
  <c r="K412" i="7"/>
  <c r="N410" i="7"/>
  <c r="N408" i="7" s="1"/>
  <c r="M410" i="7"/>
  <c r="L410" i="7"/>
  <c r="L408" i="7" s="1"/>
  <c r="O408" i="7" s="1"/>
  <c r="P409" i="7"/>
  <c r="O409" i="7"/>
  <c r="N407" i="7"/>
  <c r="M407" i="7"/>
  <c r="L407" i="7"/>
  <c r="O407" i="7" s="1"/>
  <c r="P406" i="7"/>
  <c r="O406" i="7"/>
  <c r="N403" i="7"/>
  <c r="M403" i="7"/>
  <c r="L403" i="7"/>
  <c r="O403" i="7" s="1"/>
  <c r="K401" i="7"/>
  <c r="J401" i="7"/>
  <c r="I401" i="7"/>
  <c r="K400" i="7"/>
  <c r="K399" i="7"/>
  <c r="N397" i="7"/>
  <c r="N395" i="7" s="1"/>
  <c r="M397" i="7"/>
  <c r="P397" i="7" s="1"/>
  <c r="L397" i="7"/>
  <c r="O397" i="7" s="1"/>
  <c r="P396" i="7"/>
  <c r="O396" i="7"/>
  <c r="N394" i="7"/>
  <c r="N392" i="7" s="1"/>
  <c r="M394" i="7"/>
  <c r="M392" i="7" s="1"/>
  <c r="P392" i="7" s="1"/>
  <c r="L394" i="7"/>
  <c r="P393" i="7"/>
  <c r="O393" i="7"/>
  <c r="P390" i="7"/>
  <c r="O390" i="7"/>
  <c r="N390" i="7"/>
  <c r="M390" i="7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P352" i="7"/>
  <c r="O352" i="7"/>
  <c r="N350" i="7"/>
  <c r="N348" i="7" s="1"/>
  <c r="M350" i="7"/>
  <c r="L350" i="7"/>
  <c r="L348" i="7" s="1"/>
  <c r="P349" i="7"/>
  <c r="O349" i="7"/>
  <c r="O346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N331" i="7" s="1"/>
  <c r="M333" i="7"/>
  <c r="L333" i="7"/>
  <c r="L331" i="7" s="1"/>
  <c r="P332" i="7"/>
  <c r="O332" i="7"/>
  <c r="O329" i="7"/>
  <c r="N329" i="7"/>
  <c r="M329" i="7"/>
  <c r="P329" i="7" s="1"/>
  <c r="L329" i="7"/>
  <c r="I327" i="7"/>
  <c r="I325" i="7"/>
  <c r="N323" i="7"/>
  <c r="N321" i="7" s="1"/>
  <c r="M323" i="7"/>
  <c r="P323" i="7" s="1"/>
  <c r="L323" i="7"/>
  <c r="O323" i="7" s="1"/>
  <c r="P322" i="7"/>
  <c r="O322" i="7"/>
  <c r="N320" i="7"/>
  <c r="N318" i="7" s="1"/>
  <c r="M320" i="7"/>
  <c r="P320" i="7" s="1"/>
  <c r="L320" i="7"/>
  <c r="O320" i="7" s="1"/>
  <c r="P319" i="7"/>
  <c r="O319" i="7"/>
  <c r="P316" i="7"/>
  <c r="N316" i="7"/>
  <c r="M316" i="7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O306" i="7" s="1"/>
  <c r="P305" i="7"/>
  <c r="O305" i="7"/>
  <c r="N303" i="7"/>
  <c r="N301" i="7" s="1"/>
  <c r="M303" i="7"/>
  <c r="L303" i="7"/>
  <c r="O303" i="7" s="1"/>
  <c r="P302" i="7"/>
  <c r="O302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K288" i="7" s="1"/>
  <c r="I287" i="7"/>
  <c r="K287" i="7" s="1"/>
  <c r="N285" i="7"/>
  <c r="N283" i="7" s="1"/>
  <c r="M285" i="7"/>
  <c r="L285" i="7"/>
  <c r="L283" i="7" s="1"/>
  <c r="O283" i="7" s="1"/>
  <c r="P284" i="7"/>
  <c r="O284" i="7"/>
  <c r="N282" i="7"/>
  <c r="N280" i="7" s="1"/>
  <c r="M282" i="7"/>
  <c r="M280" i="7" s="1"/>
  <c r="L282" i="7"/>
  <c r="L280" i="7" s="1"/>
  <c r="P281" i="7"/>
  <c r="O281" i="7"/>
  <c r="N278" i="7"/>
  <c r="M278" i="7"/>
  <c r="P278" i="7" s="1"/>
  <c r="L278" i="7"/>
  <c r="O278" i="7" s="1"/>
  <c r="J276" i="7"/>
  <c r="I271" i="7"/>
  <c r="K271" i="7" s="1"/>
  <c r="N269" i="7"/>
  <c r="N267" i="7" s="1"/>
  <c r="M269" i="7"/>
  <c r="L269" i="7"/>
  <c r="O269" i="7" s="1"/>
  <c r="P268" i="7"/>
  <c r="O268" i="7"/>
  <c r="N266" i="7"/>
  <c r="M266" i="7"/>
  <c r="L266" i="7"/>
  <c r="L264" i="7" s="1"/>
  <c r="P265" i="7"/>
  <c r="O265" i="7"/>
  <c r="O262" i="7"/>
  <c r="N262" i="7"/>
  <c r="M262" i="7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N227" i="7"/>
  <c r="J226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I190" i="7" s="1"/>
  <c r="K190" i="7" s="1"/>
  <c r="P191" i="7"/>
  <c r="L191" i="7"/>
  <c r="O191" i="7" s="1"/>
  <c r="J190" i="7"/>
  <c r="N189" i="7"/>
  <c r="N187" i="7" s="1"/>
  <c r="M189" i="7"/>
  <c r="M187" i="7" s="1"/>
  <c r="P187" i="7" s="1"/>
  <c r="L189" i="7"/>
  <c r="O189" i="7" s="1"/>
  <c r="P188" i="7"/>
  <c r="O188" i="7"/>
  <c r="N186" i="7"/>
  <c r="N184" i="7" s="1"/>
  <c r="M186" i="7"/>
  <c r="L186" i="7"/>
  <c r="P185" i="7"/>
  <c r="O185" i="7"/>
  <c r="P182" i="7"/>
  <c r="O182" i="7"/>
  <c r="N182" i="7"/>
  <c r="M182" i="7"/>
  <c r="L182" i="7"/>
  <c r="J180" i="7"/>
  <c r="J177" i="7"/>
  <c r="I176" i="7"/>
  <c r="J174" i="7"/>
  <c r="N173" i="7"/>
  <c r="N171" i="7" s="1"/>
  <c r="M173" i="7"/>
  <c r="M171" i="7" s="1"/>
  <c r="P171" i="7" s="1"/>
  <c r="L173" i="7"/>
  <c r="O173" i="7" s="1"/>
  <c r="P172" i="7"/>
  <c r="O172" i="7"/>
  <c r="N170" i="7"/>
  <c r="N168" i="7" s="1"/>
  <c r="M170" i="7"/>
  <c r="M168" i="7" s="1"/>
  <c r="L170" i="7"/>
  <c r="L168" i="7" s="1"/>
  <c r="P169" i="7"/>
  <c r="O169" i="7"/>
  <c r="P166" i="7"/>
  <c r="O166" i="7"/>
  <c r="N166" i="7"/>
  <c r="M166" i="7"/>
  <c r="L166" i="7"/>
  <c r="J164" i="7"/>
  <c r="I159" i="7"/>
  <c r="K159" i="7" s="1"/>
  <c r="N157" i="7"/>
  <c r="N155" i="7" s="1"/>
  <c r="M157" i="7"/>
  <c r="P157" i="7" s="1"/>
  <c r="L157" i="7"/>
  <c r="O157" i="7" s="1"/>
  <c r="P156" i="7"/>
  <c r="O156" i="7"/>
  <c r="N154" i="7"/>
  <c r="N152" i="7" s="1"/>
  <c r="M154" i="7"/>
  <c r="L154" i="7"/>
  <c r="O154" i="7" s="1"/>
  <c r="P153" i="7"/>
  <c r="O153" i="7"/>
  <c r="P150" i="7"/>
  <c r="N150" i="7"/>
  <c r="M150" i="7"/>
  <c r="L150" i="7"/>
  <c r="J148" i="7"/>
  <c r="I146" i="7"/>
  <c r="K146" i="7" s="1"/>
  <c r="I145" i="7"/>
  <c r="I143" i="7" s="1"/>
  <c r="I144" i="7"/>
  <c r="N140" i="7"/>
  <c r="M140" i="7"/>
  <c r="M138" i="7" s="1"/>
  <c r="L140" i="7"/>
  <c r="L138" i="7" s="1"/>
  <c r="P139" i="7"/>
  <c r="O139" i="7"/>
  <c r="N137" i="7"/>
  <c r="N135" i="7" s="1"/>
  <c r="M137" i="7"/>
  <c r="L137" i="7"/>
  <c r="L135" i="7" s="1"/>
  <c r="P136" i="7"/>
  <c r="O136" i="7"/>
  <c r="O133" i="7"/>
  <c r="N133" i="7"/>
  <c r="M133" i="7"/>
  <c r="P133" i="7" s="1"/>
  <c r="L133" i="7"/>
  <c r="J130" i="7"/>
  <c r="N127" i="7"/>
  <c r="N125" i="7" s="1"/>
  <c r="M127" i="7"/>
  <c r="M125" i="7" s="1"/>
  <c r="L127" i="7"/>
  <c r="P126" i="7"/>
  <c r="O126" i="7"/>
  <c r="N124" i="7"/>
  <c r="N122" i="7" s="1"/>
  <c r="M124" i="7"/>
  <c r="P124" i="7" s="1"/>
  <c r="L124" i="7"/>
  <c r="O124" i="7" s="1"/>
  <c r="P123" i="7"/>
  <c r="O123" i="7"/>
  <c r="O120" i="7"/>
  <c r="N120" i="7"/>
  <c r="M120" i="7"/>
  <c r="L120" i="7"/>
  <c r="K118" i="7"/>
  <c r="J118" i="7"/>
  <c r="I116" i="7"/>
  <c r="K116" i="7" s="1"/>
  <c r="I115" i="7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J98" i="7"/>
  <c r="J86" i="7" s="1"/>
  <c r="I98" i="7"/>
  <c r="K98" i="7" s="1"/>
  <c r="N96" i="7"/>
  <c r="N94" i="7" s="1"/>
  <c r="M96" i="7"/>
  <c r="P96" i="7" s="1"/>
  <c r="L96" i="7"/>
  <c r="O96" i="7" s="1"/>
  <c r="P95" i="7"/>
  <c r="O95" i="7"/>
  <c r="N93" i="7"/>
  <c r="N91" i="7" s="1"/>
  <c r="M93" i="7"/>
  <c r="M91" i="7" s="1"/>
  <c r="L93" i="7"/>
  <c r="P92" i="7"/>
  <c r="O92" i="7"/>
  <c r="P89" i="7"/>
  <c r="N89" i="7"/>
  <c r="M89" i="7"/>
  <c r="L89" i="7"/>
  <c r="O89" i="7" s="1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K78" i="7" s="1"/>
  <c r="J77" i="7"/>
  <c r="J76" i="7"/>
  <c r="N74" i="7"/>
  <c r="N72" i="7" s="1"/>
  <c r="M74" i="7"/>
  <c r="P74" i="7" s="1"/>
  <c r="L74" i="7"/>
  <c r="O74" i="7" s="1"/>
  <c r="P73" i="7"/>
  <c r="O73" i="7"/>
  <c r="N71" i="7"/>
  <c r="M71" i="7"/>
  <c r="L71" i="7"/>
  <c r="P70" i="7"/>
  <c r="O70" i="7"/>
  <c r="P67" i="7"/>
  <c r="N67" i="7"/>
  <c r="M67" i="7"/>
  <c r="L67" i="7"/>
  <c r="J65" i="7"/>
  <c r="J64" i="7"/>
  <c r="N61" i="7"/>
  <c r="M61" i="7"/>
  <c r="P61" i="7" s="1"/>
  <c r="L61" i="7"/>
  <c r="L59" i="7" s="1"/>
  <c r="O59" i="7" s="1"/>
  <c r="P60" i="7"/>
  <c r="O60" i="7"/>
  <c r="N58" i="7"/>
  <c r="M58" i="7"/>
  <c r="L58" i="7"/>
  <c r="L56" i="7" s="1"/>
  <c r="P57" i="7"/>
  <c r="O57" i="7"/>
  <c r="N54" i="7"/>
  <c r="M54" i="7"/>
  <c r="P54" i="7" s="1"/>
  <c r="L54" i="7"/>
  <c r="O54" i="7" s="1"/>
  <c r="N49" i="7"/>
  <c r="N47" i="7" s="1"/>
  <c r="M49" i="7"/>
  <c r="L49" i="7"/>
  <c r="P48" i="7"/>
  <c r="O48" i="7"/>
  <c r="N46" i="7"/>
  <c r="M46" i="7"/>
  <c r="M44" i="7" s="1"/>
  <c r="L46" i="7"/>
  <c r="P45" i="7"/>
  <c r="O45" i="7"/>
  <c r="P42" i="7"/>
  <c r="N42" i="7"/>
  <c r="M42" i="7"/>
  <c r="L42" i="7"/>
  <c r="N36" i="7"/>
  <c r="M36" i="7"/>
  <c r="P36" i="7" s="1"/>
  <c r="P35" i="7"/>
  <c r="N35" i="7"/>
  <c r="N34" i="7" s="1"/>
  <c r="M35" i="7"/>
  <c r="L35" i="7"/>
  <c r="O35" i="7" s="1"/>
  <c r="M34" i="7"/>
  <c r="P34" i="7" s="1"/>
  <c r="P33" i="7"/>
  <c r="N33" i="7"/>
  <c r="N31" i="7" s="1"/>
  <c r="M33" i="7"/>
  <c r="O32" i="7"/>
  <c r="N32" i="7"/>
  <c r="M32" i="7"/>
  <c r="P32" i="7" s="1"/>
  <c r="L32" i="7"/>
  <c r="N30" i="7"/>
  <c r="N29" i="7"/>
  <c r="L29" i="7"/>
  <c r="O25" i="7"/>
  <c r="N25" i="7"/>
  <c r="M25" i="7"/>
  <c r="L25" i="7"/>
  <c r="P22" i="7"/>
  <c r="N22" i="7"/>
  <c r="M22" i="7"/>
  <c r="L22" i="7"/>
  <c r="O22" i="7" s="1"/>
  <c r="M19" i="7"/>
  <c r="N15" i="7"/>
  <c r="L15" i="7"/>
  <c r="O15" i="7" s="1"/>
  <c r="M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N805" i="6" s="1"/>
  <c r="P809" i="6"/>
  <c r="O809" i="6"/>
  <c r="N808" i="6"/>
  <c r="M808" i="6"/>
  <c r="P808" i="6" s="1"/>
  <c r="L808" i="6"/>
  <c r="O808" i="6" s="1"/>
  <c r="M807" i="6"/>
  <c r="P807" i="6" s="1"/>
  <c r="L807" i="6"/>
  <c r="O807" i="6" s="1"/>
  <c r="P806" i="6"/>
  <c r="N806" i="6"/>
  <c r="M806" i="6"/>
  <c r="M805" i="6" s="1"/>
  <c r="P805" i="6" s="1"/>
  <c r="L806" i="6"/>
  <c r="K804" i="6"/>
  <c r="J804" i="6"/>
  <c r="J803" i="6"/>
  <c r="I803" i="6"/>
  <c r="J802" i="6"/>
  <c r="J801" i="6"/>
  <c r="I801" i="6"/>
  <c r="K801" i="6" s="1"/>
  <c r="J800" i="6"/>
  <c r="P798" i="6"/>
  <c r="O798" i="6"/>
  <c r="P797" i="6"/>
  <c r="O797" i="6"/>
  <c r="P796" i="6"/>
  <c r="N796" i="6"/>
  <c r="M796" i="6"/>
  <c r="L796" i="6"/>
  <c r="O796" i="6" s="1"/>
  <c r="P791" i="6"/>
  <c r="N791" i="6"/>
  <c r="L791" i="6"/>
  <c r="P790" i="6"/>
  <c r="O790" i="6"/>
  <c r="P789" i="6"/>
  <c r="N789" i="6"/>
  <c r="M789" i="6"/>
  <c r="P788" i="6"/>
  <c r="N788" i="6"/>
  <c r="M788" i="6"/>
  <c r="O787" i="6"/>
  <c r="N787" i="6"/>
  <c r="M787" i="6"/>
  <c r="M786" i="6" s="1"/>
  <c r="P786" i="6" s="1"/>
  <c r="L787" i="6"/>
  <c r="N786" i="6"/>
  <c r="P782" i="6"/>
  <c r="O782" i="6"/>
  <c r="P781" i="6"/>
  <c r="O781" i="6"/>
  <c r="N780" i="6"/>
  <c r="M780" i="6"/>
  <c r="P780" i="6" s="1"/>
  <c r="L780" i="6"/>
  <c r="O780" i="6" s="1"/>
  <c r="P775" i="6"/>
  <c r="O775" i="6"/>
  <c r="N775" i="6"/>
  <c r="N773" i="6" s="1"/>
  <c r="P774" i="6"/>
  <c r="O774" i="6"/>
  <c r="P773" i="6"/>
  <c r="M773" i="6"/>
  <c r="L773" i="6"/>
  <c r="O773" i="6" s="1"/>
  <c r="P772" i="6"/>
  <c r="O772" i="6"/>
  <c r="N772" i="6"/>
  <c r="M772" i="6"/>
  <c r="L772" i="6"/>
  <c r="P771" i="6"/>
  <c r="O771" i="6"/>
  <c r="N771" i="6"/>
  <c r="N770" i="6" s="1"/>
  <c r="M771" i="6"/>
  <c r="L771" i="6"/>
  <c r="O770" i="6"/>
  <c r="M770" i="6"/>
  <c r="P770" i="6" s="1"/>
  <c r="L770" i="6"/>
  <c r="K769" i="6"/>
  <c r="J769" i="6"/>
  <c r="P766" i="6"/>
  <c r="O766" i="6"/>
  <c r="P765" i="6"/>
  <c r="O765" i="6"/>
  <c r="N764" i="6"/>
  <c r="M764" i="6"/>
  <c r="P764" i="6" s="1"/>
  <c r="L764" i="6"/>
  <c r="O764" i="6" s="1"/>
  <c r="P759" i="6"/>
  <c r="O759" i="6"/>
  <c r="N759" i="6"/>
  <c r="P758" i="6"/>
  <c r="O758" i="6"/>
  <c r="P757" i="6"/>
  <c r="N757" i="6"/>
  <c r="M757" i="6"/>
  <c r="L757" i="6"/>
  <c r="O757" i="6" s="1"/>
  <c r="P756" i="6"/>
  <c r="O756" i="6"/>
  <c r="N756" i="6"/>
  <c r="M756" i="6"/>
  <c r="L756" i="6"/>
  <c r="P755" i="6"/>
  <c r="O755" i="6"/>
  <c r="N755" i="6"/>
  <c r="N754" i="6" s="1"/>
  <c r="M755" i="6"/>
  <c r="L755" i="6"/>
  <c r="O754" i="6"/>
  <c r="M754" i="6"/>
  <c r="P754" i="6" s="1"/>
  <c r="L754" i="6"/>
  <c r="K753" i="6"/>
  <c r="J753" i="6"/>
  <c r="P749" i="6"/>
  <c r="O749" i="6"/>
  <c r="P748" i="6"/>
  <c r="O748" i="6"/>
  <c r="N747" i="6"/>
  <c r="M747" i="6"/>
  <c r="P747" i="6" s="1"/>
  <c r="L747" i="6"/>
  <c r="O747" i="6" s="1"/>
  <c r="P742" i="6"/>
  <c r="O742" i="6"/>
  <c r="N742" i="6"/>
  <c r="N740" i="6" s="1"/>
  <c r="P741" i="6"/>
  <c r="O741" i="6"/>
  <c r="P740" i="6"/>
  <c r="M740" i="6"/>
  <c r="L740" i="6"/>
  <c r="O740" i="6" s="1"/>
  <c r="P739" i="6"/>
  <c r="O739" i="6"/>
  <c r="N739" i="6"/>
  <c r="M739" i="6"/>
  <c r="L739" i="6"/>
  <c r="P738" i="6"/>
  <c r="O738" i="6"/>
  <c r="N738" i="6"/>
  <c r="N737" i="6" s="1"/>
  <c r="M738" i="6"/>
  <c r="L738" i="6"/>
  <c r="O737" i="6"/>
  <c r="M737" i="6"/>
  <c r="P737" i="6" s="1"/>
  <c r="L737" i="6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N695" i="6"/>
  <c r="M695" i="6"/>
  <c r="P695" i="6" s="1"/>
  <c r="L695" i="6"/>
  <c r="O695" i="6" s="1"/>
  <c r="P690" i="6"/>
  <c r="N690" i="6"/>
  <c r="L690" i="6"/>
  <c r="P688" i="6"/>
  <c r="N688" i="6"/>
  <c r="M688" i="6"/>
  <c r="P687" i="6"/>
  <c r="N687" i="6"/>
  <c r="M687" i="6"/>
  <c r="O686" i="6"/>
  <c r="N686" i="6"/>
  <c r="M686" i="6"/>
  <c r="M685" i="6" s="1"/>
  <c r="P685" i="6" s="1"/>
  <c r="L686" i="6"/>
  <c r="N685" i="6"/>
  <c r="J679" i="6"/>
  <c r="J678" i="6" s="1"/>
  <c r="I678" i="6"/>
  <c r="K678" i="6" s="1"/>
  <c r="J675" i="6"/>
  <c r="J669" i="6" s="1"/>
  <c r="J654" i="6" s="1"/>
  <c r="I671" i="6"/>
  <c r="K671" i="6" s="1"/>
  <c r="I670" i="6"/>
  <c r="K670" i="6" s="1"/>
  <c r="I669" i="6"/>
  <c r="P667" i="6"/>
  <c r="O667" i="6"/>
  <c r="P666" i="6"/>
  <c r="O666" i="6"/>
  <c r="O665" i="6"/>
  <c r="N665" i="6"/>
  <c r="M665" i="6"/>
  <c r="P665" i="6" s="1"/>
  <c r="L665" i="6"/>
  <c r="P660" i="6"/>
  <c r="N660" i="6"/>
  <c r="L660" i="6"/>
  <c r="O660" i="6" s="1"/>
  <c r="P659" i="6"/>
  <c r="O659" i="6"/>
  <c r="M658" i="6"/>
  <c r="P658" i="6" s="1"/>
  <c r="M657" i="6"/>
  <c r="P656" i="6"/>
  <c r="N656" i="6"/>
  <c r="M656" i="6"/>
  <c r="L656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P639" i="6"/>
  <c r="N639" i="6"/>
  <c r="M639" i="6"/>
  <c r="P634" i="6"/>
  <c r="N634" i="6"/>
  <c r="N631" i="6" s="1"/>
  <c r="L634" i="6"/>
  <c r="P633" i="6"/>
  <c r="O633" i="6"/>
  <c r="P632" i="6"/>
  <c r="N632" i="6"/>
  <c r="M632" i="6"/>
  <c r="M631" i="6"/>
  <c r="P631" i="6" s="1"/>
  <c r="N630" i="6"/>
  <c r="N629" i="6" s="1"/>
  <c r="M630" i="6"/>
  <c r="P630" i="6" s="1"/>
  <c r="L630" i="6"/>
  <c r="M629" i="6"/>
  <c r="P629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J593" i="6" s="1"/>
  <c r="I594" i="6"/>
  <c r="I593" i="6"/>
  <c r="I592" i="6" s="1"/>
  <c r="J583" i="6"/>
  <c r="J577" i="6" s="1"/>
  <c r="J582" i="6"/>
  <c r="I577" i="6"/>
  <c r="J576" i="6"/>
  <c r="J559" i="6" s="1"/>
  <c r="I576" i="6"/>
  <c r="I559" i="6" s="1"/>
  <c r="J569" i="6"/>
  <c r="I569" i="6"/>
  <c r="J568" i="6"/>
  <c r="I568" i="6"/>
  <c r="K568" i="6" s="1"/>
  <c r="J561" i="6"/>
  <c r="I561" i="6"/>
  <c r="J560" i="6"/>
  <c r="I560" i="6"/>
  <c r="K560" i="6" s="1"/>
  <c r="P557" i="6"/>
  <c r="L557" i="6"/>
  <c r="O557" i="6" s="1"/>
  <c r="P556" i="6"/>
  <c r="O556" i="6"/>
  <c r="N555" i="6"/>
  <c r="N545" i="6" s="1"/>
  <c r="N544" i="6" s="1"/>
  <c r="M555" i="6"/>
  <c r="P555" i="6" s="1"/>
  <c r="P549" i="6"/>
  <c r="N549" i="6"/>
  <c r="L549" i="6"/>
  <c r="P548" i="6"/>
  <c r="O548" i="6"/>
  <c r="N547" i="6"/>
  <c r="M547" i="6"/>
  <c r="P547" i="6" s="1"/>
  <c r="P546" i="6"/>
  <c r="N546" i="6"/>
  <c r="M546" i="6"/>
  <c r="O545" i="6"/>
  <c r="L545" i="6"/>
  <c r="J543" i="6"/>
  <c r="I542" i="6"/>
  <c r="K542" i="6" s="1"/>
  <c r="I541" i="6"/>
  <c r="K541" i="6" s="1"/>
  <c r="I540" i="6"/>
  <c r="K540" i="6" s="1"/>
  <c r="I539" i="6"/>
  <c r="I538" i="6"/>
  <c r="K538" i="6" s="1"/>
  <c r="I537" i="6"/>
  <c r="P535" i="6"/>
  <c r="L535" i="6"/>
  <c r="L533" i="6" s="1"/>
  <c r="O533" i="6" s="1"/>
  <c r="P534" i="6"/>
  <c r="O534" i="6"/>
  <c r="P533" i="6"/>
  <c r="N533" i="6"/>
  <c r="M533" i="6"/>
  <c r="P528" i="6"/>
  <c r="N528" i="6"/>
  <c r="L528" i="6"/>
  <c r="L526" i="6" s="1"/>
  <c r="O526" i="6" s="1"/>
  <c r="P527" i="6"/>
  <c r="O527" i="6"/>
  <c r="P526" i="6"/>
  <c r="N526" i="6"/>
  <c r="M526" i="6"/>
  <c r="P525" i="6"/>
  <c r="N525" i="6"/>
  <c r="M525" i="6"/>
  <c r="N524" i="6"/>
  <c r="M524" i="6"/>
  <c r="L524" i="6"/>
  <c r="O524" i="6" s="1"/>
  <c r="N523" i="6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5" i="6" s="1"/>
  <c r="P506" i="6"/>
  <c r="O506" i="6"/>
  <c r="M505" i="6"/>
  <c r="P505" i="6" s="1"/>
  <c r="L505" i="6"/>
  <c r="O505" i="6" s="1"/>
  <c r="M504" i="6"/>
  <c r="P504" i="6" s="1"/>
  <c r="L504" i="6"/>
  <c r="N503" i="6"/>
  <c r="M503" i="6"/>
  <c r="M502" i="6" s="1"/>
  <c r="L503" i="6"/>
  <c r="O503" i="6" s="1"/>
  <c r="P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N476" i="6"/>
  <c r="N475" i="6"/>
  <c r="N473" i="6"/>
  <c r="P472" i="6"/>
  <c r="L472" i="6"/>
  <c r="L470" i="6" s="1"/>
  <c r="P471" i="6"/>
  <c r="O471" i="6"/>
  <c r="P470" i="6"/>
  <c r="M470" i="6"/>
  <c r="P469" i="6"/>
  <c r="M469" i="6"/>
  <c r="O468" i="6"/>
  <c r="N468" i="6"/>
  <c r="M468" i="6"/>
  <c r="L468" i="6"/>
  <c r="J466" i="6"/>
  <c r="I466" i="6"/>
  <c r="K466" i="6" s="1"/>
  <c r="J465" i="6"/>
  <c r="I465" i="6"/>
  <c r="K465" i="6" s="1"/>
  <c r="I464" i="6"/>
  <c r="I463" i="6"/>
  <c r="I462" i="6"/>
  <c r="I460" i="6"/>
  <c r="K458" i="6"/>
  <c r="P456" i="6"/>
  <c r="L456" i="6"/>
  <c r="P455" i="6"/>
  <c r="O455" i="6"/>
  <c r="N454" i="6"/>
  <c r="M454" i="6"/>
  <c r="P454" i="6" s="1"/>
  <c r="P449" i="6"/>
  <c r="N449" i="6"/>
  <c r="L449" i="6"/>
  <c r="P448" i="6"/>
  <c r="O448" i="6"/>
  <c r="P447" i="6"/>
  <c r="N447" i="6"/>
  <c r="M447" i="6"/>
  <c r="P446" i="6"/>
  <c r="N446" i="6"/>
  <c r="M446" i="6"/>
  <c r="P445" i="6"/>
  <c r="O445" i="6"/>
  <c r="N445" i="6"/>
  <c r="N444" i="6" s="1"/>
  <c r="M445" i="6"/>
  <c r="L445" i="6"/>
  <c r="P444" i="6"/>
  <c r="M444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K435" i="6" s="1"/>
  <c r="J434" i="6"/>
  <c r="J418" i="6" s="1"/>
  <c r="P431" i="6"/>
  <c r="L431" i="6"/>
  <c r="P430" i="6"/>
  <c r="O430" i="6"/>
  <c r="N429" i="6"/>
  <c r="M429" i="6"/>
  <c r="P429" i="6" s="1"/>
  <c r="N428" i="6"/>
  <c r="P424" i="6"/>
  <c r="N424" i="6"/>
  <c r="L424" i="6"/>
  <c r="P423" i="6"/>
  <c r="O423" i="6"/>
  <c r="M422" i="6"/>
  <c r="P422" i="6" s="1"/>
  <c r="P421" i="6"/>
  <c r="M421" i="6"/>
  <c r="M419" i="6" s="1"/>
  <c r="P419" i="6" s="1"/>
  <c r="P420" i="6"/>
  <c r="O420" i="6"/>
  <c r="N420" i="6"/>
  <c r="M420" i="6"/>
  <c r="L420" i="6"/>
  <c r="K413" i="6"/>
  <c r="K412" i="6"/>
  <c r="N410" i="6"/>
  <c r="N408" i="6" s="1"/>
  <c r="M410" i="6"/>
  <c r="L410" i="6"/>
  <c r="L408" i="6" s="1"/>
  <c r="O408" i="6" s="1"/>
  <c r="P409" i="6"/>
  <c r="O409" i="6"/>
  <c r="N407" i="6"/>
  <c r="M407" i="6"/>
  <c r="L407" i="6"/>
  <c r="L405" i="6" s="1"/>
  <c r="O405" i="6" s="1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O397" i="6" s="1"/>
  <c r="P396" i="6"/>
  <c r="O396" i="6"/>
  <c r="N394" i="6"/>
  <c r="M394" i="6"/>
  <c r="L394" i="6"/>
  <c r="O394" i="6" s="1"/>
  <c r="P393" i="6"/>
  <c r="O393" i="6"/>
  <c r="P390" i="6"/>
  <c r="N390" i="6"/>
  <c r="M390" i="6"/>
  <c r="L390" i="6"/>
  <c r="J388" i="6"/>
  <c r="I388" i="6"/>
  <c r="K388" i="6" s="1"/>
  <c r="J385" i="6"/>
  <c r="I385" i="6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P352" i="6"/>
  <c r="O352" i="6"/>
  <c r="N350" i="6"/>
  <c r="N348" i="6" s="1"/>
  <c r="M350" i="6"/>
  <c r="L350" i="6"/>
  <c r="P349" i="6"/>
  <c r="O349" i="6"/>
  <c r="P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L336" i="6"/>
  <c r="O336" i="6" s="1"/>
  <c r="P335" i="6"/>
  <c r="O335" i="6"/>
  <c r="N333" i="6"/>
  <c r="N331" i="6" s="1"/>
  <c r="M333" i="6"/>
  <c r="L333" i="6"/>
  <c r="P332" i="6"/>
  <c r="O332" i="6"/>
  <c r="P329" i="6"/>
  <c r="N329" i="6"/>
  <c r="M329" i="6"/>
  <c r="L329" i="6"/>
  <c r="O329" i="6" s="1"/>
  <c r="I327" i="6"/>
  <c r="I325" i="6"/>
  <c r="N323" i="6"/>
  <c r="N321" i="6" s="1"/>
  <c r="M323" i="6"/>
  <c r="L323" i="6"/>
  <c r="O323" i="6" s="1"/>
  <c r="P322" i="6"/>
  <c r="O322" i="6"/>
  <c r="N320" i="6"/>
  <c r="M320" i="6"/>
  <c r="L320" i="6"/>
  <c r="O320" i="6" s="1"/>
  <c r="P319" i="6"/>
  <c r="O319" i="6"/>
  <c r="P316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P305" i="6"/>
  <c r="O305" i="6"/>
  <c r="N303" i="6"/>
  <c r="M303" i="6"/>
  <c r="M301" i="6" s="1"/>
  <c r="L303" i="6"/>
  <c r="L301" i="6" s="1"/>
  <c r="P302" i="6"/>
  <c r="O302" i="6"/>
  <c r="N299" i="6"/>
  <c r="M299" i="6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I287" i="6"/>
  <c r="I276" i="6" s="1"/>
  <c r="N285" i="6"/>
  <c r="M285" i="6"/>
  <c r="L285" i="6"/>
  <c r="P284" i="6"/>
  <c r="O284" i="6"/>
  <c r="N282" i="6"/>
  <c r="M282" i="6"/>
  <c r="M280" i="6" s="1"/>
  <c r="L282" i="6"/>
  <c r="L280" i="6" s="1"/>
  <c r="P281" i="6"/>
  <c r="O281" i="6"/>
  <c r="P278" i="6"/>
  <c r="N278" i="6"/>
  <c r="M278" i="6"/>
  <c r="L278" i="6"/>
  <c r="J276" i="6"/>
  <c r="I271" i="6"/>
  <c r="N269" i="6"/>
  <c r="N267" i="6" s="1"/>
  <c r="M269" i="6"/>
  <c r="L269" i="6"/>
  <c r="P268" i="6"/>
  <c r="O268" i="6"/>
  <c r="N266" i="6"/>
  <c r="M266" i="6"/>
  <c r="L266" i="6"/>
  <c r="L264" i="6" s="1"/>
  <c r="P265" i="6"/>
  <c r="O265" i="6"/>
  <c r="N262" i="6"/>
  <c r="M262" i="6"/>
  <c r="L262" i="6"/>
  <c r="O262" i="6" s="1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26" i="6" s="1"/>
  <c r="J180" i="6" s="1"/>
  <c r="J236" i="6"/>
  <c r="I236" i="6"/>
  <c r="K236" i="6" s="1"/>
  <c r="J235" i="6"/>
  <c r="I235" i="6"/>
  <c r="K235" i="6" s="1"/>
  <c r="J233" i="6"/>
  <c r="N231" i="6"/>
  <c r="N230" i="6"/>
  <c r="N229" i="6"/>
  <c r="N228" i="6"/>
  <c r="N227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N184" i="6" s="1"/>
  <c r="M186" i="6"/>
  <c r="L186" i="6"/>
  <c r="L184" i="6" s="1"/>
  <c r="P185" i="6"/>
  <c r="O185" i="6"/>
  <c r="P182" i="6"/>
  <c r="O182" i="6"/>
  <c r="N182" i="6"/>
  <c r="M182" i="6"/>
  <c r="L182" i="6"/>
  <c r="J177" i="6"/>
  <c r="I176" i="6"/>
  <c r="J174" i="6"/>
  <c r="J164" i="6" s="1"/>
  <c r="N173" i="6"/>
  <c r="N171" i="6" s="1"/>
  <c r="M173" i="6"/>
  <c r="M171" i="6" s="1"/>
  <c r="P171" i="6" s="1"/>
  <c r="L173" i="6"/>
  <c r="L171" i="6" s="1"/>
  <c r="O171" i="6" s="1"/>
  <c r="P172" i="6"/>
  <c r="O172" i="6"/>
  <c r="N170" i="6"/>
  <c r="M170" i="6"/>
  <c r="M168" i="6" s="1"/>
  <c r="L170" i="6"/>
  <c r="P169" i="6"/>
  <c r="O169" i="6"/>
  <c r="P166" i="6"/>
  <c r="O166" i="6"/>
  <c r="N166" i="6"/>
  <c r="M166" i="6"/>
  <c r="L166" i="6"/>
  <c r="I159" i="6"/>
  <c r="K159" i="6" s="1"/>
  <c r="N157" i="6"/>
  <c r="N155" i="6" s="1"/>
  <c r="M157" i="6"/>
  <c r="L157" i="6"/>
  <c r="O157" i="6" s="1"/>
  <c r="P156" i="6"/>
  <c r="O156" i="6"/>
  <c r="N154" i="6"/>
  <c r="N152" i="6" s="1"/>
  <c r="M154" i="6"/>
  <c r="L154" i="6"/>
  <c r="L152" i="6" s="1"/>
  <c r="P153" i="6"/>
  <c r="O153" i="6"/>
  <c r="O150" i="6"/>
  <c r="N150" i="6"/>
  <c r="M150" i="6"/>
  <c r="L150" i="6"/>
  <c r="J148" i="6"/>
  <c r="I146" i="6"/>
  <c r="K146" i="6" s="1"/>
  <c r="I145" i="6"/>
  <c r="I144" i="6"/>
  <c r="K144" i="6" s="1"/>
  <c r="N140" i="6"/>
  <c r="M140" i="6"/>
  <c r="M138" i="6" s="1"/>
  <c r="L140" i="6"/>
  <c r="L138" i="6" s="1"/>
  <c r="P139" i="6"/>
  <c r="O139" i="6"/>
  <c r="N137" i="6"/>
  <c r="M137" i="6"/>
  <c r="L137" i="6"/>
  <c r="L135" i="6" s="1"/>
  <c r="P136" i="6"/>
  <c r="O136" i="6"/>
  <c r="N133" i="6"/>
  <c r="M133" i="6"/>
  <c r="L133" i="6"/>
  <c r="O133" i="6" s="1"/>
  <c r="J130" i="6"/>
  <c r="N127" i="6"/>
  <c r="N125" i="6" s="1"/>
  <c r="M127" i="6"/>
  <c r="L127" i="6"/>
  <c r="P126" i="6"/>
  <c r="O126" i="6"/>
  <c r="N124" i="6"/>
  <c r="N122" i="6" s="1"/>
  <c r="M124" i="6"/>
  <c r="P124" i="6" s="1"/>
  <c r="L124" i="6"/>
  <c r="L122" i="6" s="1"/>
  <c r="O122" i="6" s="1"/>
  <c r="P123" i="6"/>
  <c r="O123" i="6"/>
  <c r="O120" i="6"/>
  <c r="N120" i="6"/>
  <c r="M120" i="6"/>
  <c r="L120" i="6"/>
  <c r="K118" i="6"/>
  <c r="J118" i="6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J98" i="6"/>
  <c r="J86" i="6" s="1"/>
  <c r="I98" i="6"/>
  <c r="N96" i="6"/>
  <c r="N94" i="6" s="1"/>
  <c r="M96" i="6"/>
  <c r="P96" i="6" s="1"/>
  <c r="L96" i="6"/>
  <c r="P95" i="6"/>
  <c r="O95" i="6"/>
  <c r="N93" i="6"/>
  <c r="M93" i="6"/>
  <c r="L93" i="6"/>
  <c r="L91" i="6" s="1"/>
  <c r="P92" i="6"/>
  <c r="O92" i="6"/>
  <c r="P89" i="6"/>
  <c r="O89" i="6"/>
  <c r="N89" i="6"/>
  <c r="M89" i="6"/>
  <c r="L89" i="6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65" i="6" s="1"/>
  <c r="J76" i="6"/>
  <c r="J64" i="6" s="1"/>
  <c r="N74" i="6"/>
  <c r="N72" i="6" s="1"/>
  <c r="M74" i="6"/>
  <c r="P74" i="6" s="1"/>
  <c r="L74" i="6"/>
  <c r="P73" i="6"/>
  <c r="O73" i="6"/>
  <c r="N71" i="6"/>
  <c r="M71" i="6"/>
  <c r="M69" i="6" s="1"/>
  <c r="L71" i="6"/>
  <c r="L69" i="6" s="1"/>
  <c r="P70" i="6"/>
  <c r="O70" i="6"/>
  <c r="O67" i="6"/>
  <c r="N67" i="6"/>
  <c r="M67" i="6"/>
  <c r="P67" i="6" s="1"/>
  <c r="L67" i="6"/>
  <c r="N61" i="6"/>
  <c r="N59" i="6" s="1"/>
  <c r="M61" i="6"/>
  <c r="L61" i="6"/>
  <c r="P60" i="6"/>
  <c r="O60" i="6"/>
  <c r="N58" i="6"/>
  <c r="N56" i="6" s="1"/>
  <c r="M58" i="6"/>
  <c r="M56" i="6" s="1"/>
  <c r="L58" i="6"/>
  <c r="L56" i="6" s="1"/>
  <c r="P57" i="6"/>
  <c r="O57" i="6"/>
  <c r="O54" i="6"/>
  <c r="N54" i="6"/>
  <c r="M54" i="6"/>
  <c r="L54" i="6"/>
  <c r="N49" i="6"/>
  <c r="N47" i="6" s="1"/>
  <c r="M49" i="6"/>
  <c r="L49" i="6"/>
  <c r="O49" i="6" s="1"/>
  <c r="P48" i="6"/>
  <c r="O48" i="6"/>
  <c r="N46" i="6"/>
  <c r="N44" i="6" s="1"/>
  <c r="M46" i="6"/>
  <c r="M44" i="6" s="1"/>
  <c r="L46" i="6"/>
  <c r="P45" i="6"/>
  <c r="O45" i="6"/>
  <c r="O42" i="6"/>
  <c r="N42" i="6"/>
  <c r="M42" i="6"/>
  <c r="L42" i="6"/>
  <c r="P36" i="6"/>
  <c r="N36" i="6"/>
  <c r="M36" i="6"/>
  <c r="M34" i="6" s="1"/>
  <c r="P34" i="6" s="1"/>
  <c r="P35" i="6"/>
  <c r="O35" i="6"/>
  <c r="N35" i="6"/>
  <c r="M35" i="6"/>
  <c r="L35" i="6"/>
  <c r="N34" i="6"/>
  <c r="P33" i="6"/>
  <c r="M33" i="6"/>
  <c r="N32" i="6"/>
  <c r="M32" i="6"/>
  <c r="M31" i="6" s="1"/>
  <c r="P31" i="6" s="1"/>
  <c r="L32" i="6"/>
  <c r="O32" i="6" s="1"/>
  <c r="M30" i="6"/>
  <c r="P30" i="6" s="1"/>
  <c r="O29" i="6"/>
  <c r="L29" i="6"/>
  <c r="O25" i="6"/>
  <c r="N25" i="6"/>
  <c r="M25" i="6"/>
  <c r="L25" i="6"/>
  <c r="P22" i="6"/>
  <c r="N22" i="6"/>
  <c r="M22" i="6"/>
  <c r="L22" i="6"/>
  <c r="L19" i="6" s="1"/>
  <c r="M19" i="6"/>
  <c r="P19" i="6" s="1"/>
  <c r="N15" i="6"/>
  <c r="P12" i="6"/>
  <c r="N12" i="6"/>
  <c r="M12" i="6"/>
  <c r="L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N805" i="5" s="1"/>
  <c r="P809" i="5"/>
  <c r="O809" i="5"/>
  <c r="N808" i="5"/>
  <c r="M808" i="5"/>
  <c r="P808" i="5" s="1"/>
  <c r="L808" i="5"/>
  <c r="O808" i="5" s="1"/>
  <c r="M807" i="5"/>
  <c r="L807" i="5"/>
  <c r="O807" i="5" s="1"/>
  <c r="P806" i="5"/>
  <c r="N806" i="5"/>
  <c r="M806" i="5"/>
  <c r="L806" i="5"/>
  <c r="K804" i="5"/>
  <c r="J804" i="5"/>
  <c r="K802" i="5"/>
  <c r="J801" i="5"/>
  <c r="J785" i="5" s="1"/>
  <c r="J800" i="5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P790" i="5"/>
  <c r="O790" i="5"/>
  <c r="M789" i="5"/>
  <c r="P789" i="5" s="1"/>
  <c r="M788" i="5"/>
  <c r="P787" i="5"/>
  <c r="N787" i="5"/>
  <c r="M787" i="5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P774" i="5"/>
  <c r="O774" i="5"/>
  <c r="O773" i="5"/>
  <c r="N773" i="5"/>
  <c r="M773" i="5"/>
  <c r="P773" i="5" s="1"/>
  <c r="L773" i="5"/>
  <c r="N772" i="5"/>
  <c r="N770" i="5" s="1"/>
  <c r="M772" i="5"/>
  <c r="P772" i="5" s="1"/>
  <c r="L772" i="5"/>
  <c r="O772" i="5" s="1"/>
  <c r="N771" i="5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O757" i="5"/>
  <c r="N757" i="5"/>
  <c r="M757" i="5"/>
  <c r="P757" i="5" s="1"/>
  <c r="L757" i="5"/>
  <c r="N756" i="5"/>
  <c r="N754" i="5" s="1"/>
  <c r="M756" i="5"/>
  <c r="P756" i="5" s="1"/>
  <c r="L756" i="5"/>
  <c r="O756" i="5" s="1"/>
  <c r="N755" i="5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P741" i="5"/>
  <c r="O741" i="5"/>
  <c r="O740" i="5"/>
  <c r="N740" i="5"/>
  <c r="M740" i="5"/>
  <c r="P740" i="5" s="1"/>
  <c r="L740" i="5"/>
  <c r="N739" i="5"/>
  <c r="N737" i="5" s="1"/>
  <c r="M739" i="5"/>
  <c r="P739" i="5" s="1"/>
  <c r="L739" i="5"/>
  <c r="O739" i="5" s="1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N685" i="5" s="1"/>
  <c r="L690" i="5"/>
  <c r="N688" i="5"/>
  <c r="M688" i="5"/>
  <c r="P688" i="5" s="1"/>
  <c r="M687" i="5"/>
  <c r="P686" i="5"/>
  <c r="N686" i="5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J654" i="5" s="1"/>
  <c r="I669" i="5"/>
  <c r="K675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L658" i="5" s="1"/>
  <c r="O658" i="5" s="1"/>
  <c r="P659" i="5"/>
  <c r="O659" i="5"/>
  <c r="P658" i="5"/>
  <c r="N658" i="5"/>
  <c r="M658" i="5"/>
  <c r="P657" i="5"/>
  <c r="N657" i="5"/>
  <c r="M657" i="5"/>
  <c r="O656" i="5"/>
  <c r="N656" i="5"/>
  <c r="M656" i="5"/>
  <c r="P656" i="5" s="1"/>
  <c r="L656" i="5"/>
  <c r="N655" i="5"/>
  <c r="M655" i="5"/>
  <c r="P655" i="5" s="1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N639" i="5"/>
  <c r="M639" i="5"/>
  <c r="P639" i="5" s="1"/>
  <c r="P634" i="5"/>
  <c r="N634" i="5"/>
  <c r="L634" i="5"/>
  <c r="P633" i="5"/>
  <c r="O633" i="5"/>
  <c r="N632" i="5"/>
  <c r="M632" i="5"/>
  <c r="P632" i="5" s="1"/>
  <c r="P631" i="5"/>
  <c r="N631" i="5"/>
  <c r="M631" i="5"/>
  <c r="P630" i="5"/>
  <c r="O630" i="5"/>
  <c r="N630" i="5"/>
  <c r="M630" i="5"/>
  <c r="L630" i="5"/>
  <c r="P629" i="5"/>
  <c r="N629" i="5"/>
  <c r="M629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K594" i="5" s="1"/>
  <c r="J593" i="5"/>
  <c r="I593" i="5"/>
  <c r="I592" i="5" s="1"/>
  <c r="K592" i="5" s="1"/>
  <c r="J592" i="5"/>
  <c r="J583" i="5"/>
  <c r="J582" i="5"/>
  <c r="J577" i="5"/>
  <c r="I577" i="5"/>
  <c r="K577" i="5" s="1"/>
  <c r="J576" i="5"/>
  <c r="I576" i="5"/>
  <c r="K576" i="5" s="1"/>
  <c r="J569" i="5"/>
  <c r="I569" i="5"/>
  <c r="J568" i="5"/>
  <c r="I568" i="5"/>
  <c r="K568" i="5" s="1"/>
  <c r="J561" i="5"/>
  <c r="I561" i="5"/>
  <c r="K561" i="5" s="1"/>
  <c r="J560" i="5"/>
  <c r="I560" i="5"/>
  <c r="K560" i="5" s="1"/>
  <c r="J559" i="5"/>
  <c r="J543" i="5" s="1"/>
  <c r="P557" i="5"/>
  <c r="L557" i="5"/>
  <c r="L555" i="5" s="1"/>
  <c r="O555" i="5" s="1"/>
  <c r="P556" i="5"/>
  <c r="O556" i="5"/>
  <c r="P555" i="5"/>
  <c r="N555" i="5"/>
  <c r="M555" i="5"/>
  <c r="R553" i="5"/>
  <c r="P549" i="5"/>
  <c r="N549" i="5"/>
  <c r="L549" i="5"/>
  <c r="L547" i="5" s="1"/>
  <c r="O547" i="5" s="1"/>
  <c r="P548" i="5"/>
  <c r="O548" i="5"/>
  <c r="P547" i="5"/>
  <c r="N547" i="5"/>
  <c r="M547" i="5"/>
  <c r="P546" i="5"/>
  <c r="N546" i="5"/>
  <c r="M546" i="5"/>
  <c r="O545" i="5"/>
  <c r="N545" i="5"/>
  <c r="M545" i="5"/>
  <c r="P545" i="5" s="1"/>
  <c r="L545" i="5"/>
  <c r="N544" i="5"/>
  <c r="M544" i="5"/>
  <c r="P544" i="5" s="1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P535" i="5"/>
  <c r="L535" i="5"/>
  <c r="L533" i="5" s="1"/>
  <c r="O533" i="5" s="1"/>
  <c r="P534" i="5"/>
  <c r="O534" i="5"/>
  <c r="P533" i="5"/>
  <c r="N533" i="5"/>
  <c r="M533" i="5"/>
  <c r="P528" i="5"/>
  <c r="N528" i="5"/>
  <c r="L528" i="5"/>
  <c r="L526" i="5" s="1"/>
  <c r="O526" i="5" s="1"/>
  <c r="P527" i="5"/>
  <c r="O527" i="5"/>
  <c r="N526" i="5"/>
  <c r="M526" i="5"/>
  <c r="P526" i="5" s="1"/>
  <c r="N525" i="5"/>
  <c r="N523" i="5" s="1"/>
  <c r="M525" i="5"/>
  <c r="P525" i="5" s="1"/>
  <c r="N524" i="5"/>
  <c r="M524" i="5"/>
  <c r="L524" i="5"/>
  <c r="O524" i="5" s="1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P506" i="5"/>
  <c r="O506" i="5"/>
  <c r="M505" i="5"/>
  <c r="P505" i="5" s="1"/>
  <c r="L505" i="5"/>
  <c r="O505" i="5" s="1"/>
  <c r="P504" i="5"/>
  <c r="M504" i="5"/>
  <c r="L504" i="5"/>
  <c r="P503" i="5"/>
  <c r="O503" i="5"/>
  <c r="N503" i="5"/>
  <c r="M503" i="5"/>
  <c r="L503" i="5"/>
  <c r="P502" i="5"/>
  <c r="M502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P472" i="5"/>
  <c r="N472" i="5"/>
  <c r="L472" i="5"/>
  <c r="O472" i="5" s="1"/>
  <c r="P471" i="5"/>
  <c r="O471" i="5"/>
  <c r="N470" i="5"/>
  <c r="M470" i="5"/>
  <c r="P470" i="5" s="1"/>
  <c r="P469" i="5"/>
  <c r="N469" i="5"/>
  <c r="M469" i="5"/>
  <c r="P468" i="5"/>
  <c r="O468" i="5"/>
  <c r="N468" i="5"/>
  <c r="M468" i="5"/>
  <c r="M467" i="5" s="1"/>
  <c r="L468" i="5"/>
  <c r="P467" i="5"/>
  <c r="N467" i="5"/>
  <c r="J466" i="5"/>
  <c r="I466" i="5"/>
  <c r="K466" i="5" s="1"/>
  <c r="J465" i="5"/>
  <c r="I465" i="5"/>
  <c r="K465" i="5" s="1"/>
  <c r="I464" i="5"/>
  <c r="I463" i="5"/>
  <c r="I462" i="5"/>
  <c r="I443" i="5" s="1"/>
  <c r="K443" i="5" s="1"/>
  <c r="I460" i="5"/>
  <c r="K460" i="5" s="1"/>
  <c r="K458" i="5"/>
  <c r="P456" i="5"/>
  <c r="L456" i="5"/>
  <c r="P455" i="5"/>
  <c r="O455" i="5"/>
  <c r="N454" i="5"/>
  <c r="M454" i="5"/>
  <c r="P454" i="5" s="1"/>
  <c r="P449" i="5"/>
  <c r="N449" i="5"/>
  <c r="N446" i="5" s="1"/>
  <c r="L449" i="5"/>
  <c r="O449" i="5" s="1"/>
  <c r="P448" i="5"/>
  <c r="O448" i="5"/>
  <c r="M447" i="5"/>
  <c r="P447" i="5" s="1"/>
  <c r="P446" i="5"/>
  <c r="M446" i="5"/>
  <c r="P445" i="5"/>
  <c r="O445" i="5"/>
  <c r="N445" i="5"/>
  <c r="M445" i="5"/>
  <c r="L445" i="5"/>
  <c r="N444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J418" i="5" s="1"/>
  <c r="P431" i="5"/>
  <c r="L431" i="5"/>
  <c r="P430" i="5"/>
  <c r="O430" i="5"/>
  <c r="N429" i="5"/>
  <c r="M429" i="5"/>
  <c r="P429" i="5" s="1"/>
  <c r="P424" i="5"/>
  <c r="N424" i="5"/>
  <c r="N421" i="5" s="1"/>
  <c r="L424" i="5"/>
  <c r="O424" i="5" s="1"/>
  <c r="P423" i="5"/>
  <c r="O423" i="5"/>
  <c r="M422" i="5"/>
  <c r="P422" i="5" s="1"/>
  <c r="P421" i="5"/>
  <c r="M421" i="5"/>
  <c r="P420" i="5"/>
  <c r="O420" i="5"/>
  <c r="N420" i="5"/>
  <c r="M420" i="5"/>
  <c r="L420" i="5"/>
  <c r="N419" i="5"/>
  <c r="M419" i="5"/>
  <c r="P419" i="5" s="1"/>
  <c r="K413" i="5"/>
  <c r="K412" i="5"/>
  <c r="N410" i="5"/>
  <c r="N408" i="5" s="1"/>
  <c r="M410" i="5"/>
  <c r="M408" i="5" s="1"/>
  <c r="P408" i="5" s="1"/>
  <c r="L410" i="5"/>
  <c r="O410" i="5" s="1"/>
  <c r="P409" i="5"/>
  <c r="O409" i="5"/>
  <c r="N407" i="5"/>
  <c r="M407" i="5"/>
  <c r="M405" i="5" s="1"/>
  <c r="P405" i="5" s="1"/>
  <c r="L407" i="5"/>
  <c r="L405" i="5" s="1"/>
  <c r="O405" i="5" s="1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P397" i="5" s="1"/>
  <c r="L397" i="5"/>
  <c r="O397" i="5" s="1"/>
  <c r="P396" i="5"/>
  <c r="O396" i="5"/>
  <c r="N394" i="5"/>
  <c r="N392" i="5" s="1"/>
  <c r="M394" i="5"/>
  <c r="P394" i="5" s="1"/>
  <c r="L394" i="5"/>
  <c r="L392" i="5" s="1"/>
  <c r="O392" i="5" s="1"/>
  <c r="P393" i="5"/>
  <c r="O393" i="5"/>
  <c r="P390" i="5"/>
  <c r="O390" i="5"/>
  <c r="N390" i="5"/>
  <c r="M390" i="5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L351" i="5" s="1"/>
  <c r="P352" i="5"/>
  <c r="O352" i="5"/>
  <c r="N350" i="5"/>
  <c r="M350" i="5"/>
  <c r="M348" i="5" s="1"/>
  <c r="L350" i="5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M336" i="5"/>
  <c r="L336" i="5"/>
  <c r="P335" i="5"/>
  <c r="O335" i="5"/>
  <c r="N333" i="5"/>
  <c r="N331" i="5" s="1"/>
  <c r="M333" i="5"/>
  <c r="L333" i="5"/>
  <c r="P332" i="5"/>
  <c r="O332" i="5"/>
  <c r="P329" i="5"/>
  <c r="N329" i="5"/>
  <c r="M329" i="5"/>
  <c r="L329" i="5"/>
  <c r="I327" i="5"/>
  <c r="I325" i="5"/>
  <c r="I314" i="5" s="1"/>
  <c r="K314" i="5" s="1"/>
  <c r="N323" i="5"/>
  <c r="M323" i="5"/>
  <c r="P323" i="5" s="1"/>
  <c r="L323" i="5"/>
  <c r="O323" i="5" s="1"/>
  <c r="P322" i="5"/>
  <c r="O322" i="5"/>
  <c r="N320" i="5"/>
  <c r="N318" i="5" s="1"/>
  <c r="M320" i="5"/>
  <c r="P320" i="5" s="1"/>
  <c r="L320" i="5"/>
  <c r="O320" i="5" s="1"/>
  <c r="P319" i="5"/>
  <c r="O319" i="5"/>
  <c r="P316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M304" i="5" s="1"/>
  <c r="P304" i="5" s="1"/>
  <c r="L306" i="5"/>
  <c r="O306" i="5" s="1"/>
  <c r="P305" i="5"/>
  <c r="O305" i="5"/>
  <c r="N303" i="5"/>
  <c r="M303" i="5"/>
  <c r="M301" i="5" s="1"/>
  <c r="L303" i="5"/>
  <c r="L301" i="5" s="1"/>
  <c r="P302" i="5"/>
  <c r="O302" i="5"/>
  <c r="N299" i="5"/>
  <c r="M299" i="5"/>
  <c r="P299" i="5" s="1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K287" i="5" s="1"/>
  <c r="N285" i="5"/>
  <c r="N283" i="5" s="1"/>
  <c r="M285" i="5"/>
  <c r="L285" i="5"/>
  <c r="O285" i="5" s="1"/>
  <c r="P284" i="5"/>
  <c r="O284" i="5"/>
  <c r="N282" i="5"/>
  <c r="N280" i="5" s="1"/>
  <c r="M282" i="5"/>
  <c r="M280" i="5" s="1"/>
  <c r="L282" i="5"/>
  <c r="L280" i="5" s="1"/>
  <c r="P281" i="5"/>
  <c r="O281" i="5"/>
  <c r="P278" i="5"/>
  <c r="N278" i="5"/>
  <c r="M278" i="5"/>
  <c r="L278" i="5"/>
  <c r="O278" i="5" s="1"/>
  <c r="J276" i="5"/>
  <c r="I271" i="5"/>
  <c r="K271" i="5" s="1"/>
  <c r="N269" i="5"/>
  <c r="M269" i="5"/>
  <c r="P269" i="5" s="1"/>
  <c r="L269" i="5"/>
  <c r="L267" i="5" s="1"/>
  <c r="O267" i="5" s="1"/>
  <c r="P268" i="5"/>
  <c r="O268" i="5"/>
  <c r="N266" i="5"/>
  <c r="N264" i="5" s="1"/>
  <c r="M266" i="5"/>
  <c r="M264" i="5" s="1"/>
  <c r="L266" i="5"/>
  <c r="L264" i="5" s="1"/>
  <c r="P265" i="5"/>
  <c r="O265" i="5"/>
  <c r="P262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N227" i="5" s="1"/>
  <c r="J248" i="5"/>
  <c r="K247" i="5"/>
  <c r="K246" i="5"/>
  <c r="I244" i="5"/>
  <c r="L242" i="5"/>
  <c r="L241" i="5"/>
  <c r="L240" i="5"/>
  <c r="L239" i="5"/>
  <c r="P238" i="5"/>
  <c r="N238" i="5"/>
  <c r="J237" i="5"/>
  <c r="J226" i="5" s="1"/>
  <c r="J180" i="5" s="1"/>
  <c r="K236" i="5"/>
  <c r="J236" i="5"/>
  <c r="I236" i="5"/>
  <c r="K235" i="5"/>
  <c r="J235" i="5"/>
  <c r="I235" i="5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M186" i="5"/>
  <c r="M184" i="5" s="1"/>
  <c r="L186" i="5"/>
  <c r="P185" i="5"/>
  <c r="O185" i="5"/>
  <c r="O182" i="5"/>
  <c r="N182" i="5"/>
  <c r="M182" i="5"/>
  <c r="L182" i="5"/>
  <c r="J177" i="5"/>
  <c r="J164" i="5" s="1"/>
  <c r="I176" i="5"/>
  <c r="J174" i="5"/>
  <c r="N173" i="5"/>
  <c r="N171" i="5" s="1"/>
  <c r="M173" i="5"/>
  <c r="P173" i="5" s="1"/>
  <c r="L173" i="5"/>
  <c r="P172" i="5"/>
  <c r="O172" i="5"/>
  <c r="N170" i="5"/>
  <c r="M170" i="5"/>
  <c r="M168" i="5" s="1"/>
  <c r="L170" i="5"/>
  <c r="L168" i="5" s="1"/>
  <c r="P169" i="5"/>
  <c r="O169" i="5"/>
  <c r="O166" i="5"/>
  <c r="N166" i="5"/>
  <c r="M166" i="5"/>
  <c r="L166" i="5"/>
  <c r="I159" i="5"/>
  <c r="K159" i="5" s="1"/>
  <c r="N157" i="5"/>
  <c r="N155" i="5" s="1"/>
  <c r="M157" i="5"/>
  <c r="M155" i="5" s="1"/>
  <c r="P155" i="5" s="1"/>
  <c r="L157" i="5"/>
  <c r="L155" i="5" s="1"/>
  <c r="O155" i="5" s="1"/>
  <c r="P156" i="5"/>
  <c r="O156" i="5"/>
  <c r="N154" i="5"/>
  <c r="N152" i="5" s="1"/>
  <c r="M154" i="5"/>
  <c r="L154" i="5"/>
  <c r="P153" i="5"/>
  <c r="O153" i="5"/>
  <c r="P150" i="5"/>
  <c r="O150" i="5"/>
  <c r="N150" i="5"/>
  <c r="M150" i="5"/>
  <c r="L150" i="5"/>
  <c r="J148" i="5"/>
  <c r="I146" i="5"/>
  <c r="K146" i="5" s="1"/>
  <c r="I145" i="5"/>
  <c r="I144" i="5"/>
  <c r="K144" i="5" s="1"/>
  <c r="N140" i="5"/>
  <c r="N138" i="5" s="1"/>
  <c r="M140" i="5"/>
  <c r="M138" i="5" s="1"/>
  <c r="L140" i="5"/>
  <c r="P139" i="5"/>
  <c r="O139" i="5"/>
  <c r="N137" i="5"/>
  <c r="N135" i="5" s="1"/>
  <c r="M137" i="5"/>
  <c r="M135" i="5" s="1"/>
  <c r="L137" i="5"/>
  <c r="L135" i="5" s="1"/>
  <c r="P136" i="5"/>
  <c r="O136" i="5"/>
  <c r="O133" i="5"/>
  <c r="N133" i="5"/>
  <c r="M133" i="5"/>
  <c r="P133" i="5" s="1"/>
  <c r="L133" i="5"/>
  <c r="J130" i="5"/>
  <c r="N127" i="5"/>
  <c r="N125" i="5" s="1"/>
  <c r="M127" i="5"/>
  <c r="L127" i="5"/>
  <c r="P126" i="5"/>
  <c r="O126" i="5"/>
  <c r="N124" i="5"/>
  <c r="M124" i="5"/>
  <c r="M122" i="5" s="1"/>
  <c r="P122" i="5" s="1"/>
  <c r="L124" i="5"/>
  <c r="P123" i="5"/>
  <c r="O123" i="5"/>
  <c r="P120" i="5"/>
  <c r="O120" i="5"/>
  <c r="N120" i="5"/>
  <c r="M120" i="5"/>
  <c r="L120" i="5"/>
  <c r="I116" i="5"/>
  <c r="K116" i="5" s="1"/>
  <c r="I115" i="5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I87" i="5" s="1"/>
  <c r="K87" i="5" s="1"/>
  <c r="J98" i="5"/>
  <c r="I98" i="5"/>
  <c r="K98" i="5" s="1"/>
  <c r="N96" i="5"/>
  <c r="N94" i="5" s="1"/>
  <c r="M96" i="5"/>
  <c r="M94" i="5" s="1"/>
  <c r="P94" i="5" s="1"/>
  <c r="L96" i="5"/>
  <c r="O96" i="5" s="1"/>
  <c r="P95" i="5"/>
  <c r="O95" i="5"/>
  <c r="N93" i="5"/>
  <c r="N91" i="5" s="1"/>
  <c r="M93" i="5"/>
  <c r="L93" i="5"/>
  <c r="P92" i="5"/>
  <c r="O92" i="5"/>
  <c r="P89" i="5"/>
  <c r="O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I79" i="5"/>
  <c r="K79" i="5" s="1"/>
  <c r="I78" i="5"/>
  <c r="K78" i="5" s="1"/>
  <c r="J77" i="5"/>
  <c r="J65" i="5" s="1"/>
  <c r="J76" i="5"/>
  <c r="N74" i="5"/>
  <c r="N72" i="5" s="1"/>
  <c r="M74" i="5"/>
  <c r="M72" i="5" s="1"/>
  <c r="P72" i="5" s="1"/>
  <c r="L74" i="5"/>
  <c r="L72" i="5" s="1"/>
  <c r="O72" i="5" s="1"/>
  <c r="P73" i="5"/>
  <c r="O73" i="5"/>
  <c r="N71" i="5"/>
  <c r="N69" i="5" s="1"/>
  <c r="M71" i="5"/>
  <c r="M69" i="5" s="1"/>
  <c r="P69" i="5" s="1"/>
  <c r="L71" i="5"/>
  <c r="O71" i="5" s="1"/>
  <c r="P70" i="5"/>
  <c r="O70" i="5"/>
  <c r="O67" i="5"/>
  <c r="N67" i="5"/>
  <c r="M67" i="5"/>
  <c r="P67" i="5" s="1"/>
  <c r="L67" i="5"/>
  <c r="J64" i="5"/>
  <c r="N61" i="5"/>
  <c r="M61" i="5"/>
  <c r="M59" i="5" s="1"/>
  <c r="L61" i="5"/>
  <c r="L59" i="5" s="1"/>
  <c r="P60" i="5"/>
  <c r="O60" i="5"/>
  <c r="N58" i="5"/>
  <c r="N56" i="5" s="1"/>
  <c r="M58" i="5"/>
  <c r="L58" i="5"/>
  <c r="P57" i="5"/>
  <c r="O57" i="5"/>
  <c r="P54" i="5"/>
  <c r="O54" i="5"/>
  <c r="N54" i="5"/>
  <c r="M54" i="5"/>
  <c r="L54" i="5"/>
  <c r="N49" i="5"/>
  <c r="N47" i="5" s="1"/>
  <c r="M49" i="5"/>
  <c r="M47" i="5" s="1"/>
  <c r="P47" i="5" s="1"/>
  <c r="L49" i="5"/>
  <c r="O49" i="5" s="1"/>
  <c r="P48" i="5"/>
  <c r="O48" i="5"/>
  <c r="N46" i="5"/>
  <c r="N44" i="5" s="1"/>
  <c r="M46" i="5"/>
  <c r="M44" i="5" s="1"/>
  <c r="L46" i="5"/>
  <c r="P45" i="5"/>
  <c r="O45" i="5"/>
  <c r="N42" i="5"/>
  <c r="M42" i="5"/>
  <c r="P42" i="5" s="1"/>
  <c r="L42" i="5"/>
  <c r="O42" i="5" s="1"/>
  <c r="P36" i="5"/>
  <c r="N36" i="5"/>
  <c r="M36" i="5"/>
  <c r="P35" i="5"/>
  <c r="O35" i="5"/>
  <c r="N35" i="5"/>
  <c r="M35" i="5"/>
  <c r="L35" i="5"/>
  <c r="P34" i="5"/>
  <c r="N34" i="5"/>
  <c r="M34" i="5"/>
  <c r="N33" i="5"/>
  <c r="N30" i="5" s="1"/>
  <c r="M33" i="5"/>
  <c r="N32" i="5"/>
  <c r="N31" i="5" s="1"/>
  <c r="M32" i="5"/>
  <c r="L32" i="5"/>
  <c r="M31" i="5"/>
  <c r="P31" i="5" s="1"/>
  <c r="N29" i="5"/>
  <c r="N28" i="5" s="1"/>
  <c r="N25" i="5"/>
  <c r="M25" i="5"/>
  <c r="L25" i="5"/>
  <c r="O25" i="5" s="1"/>
  <c r="P22" i="5"/>
  <c r="N22" i="5"/>
  <c r="M22" i="5"/>
  <c r="L22" i="5"/>
  <c r="N19" i="5"/>
  <c r="M19" i="5"/>
  <c r="P19" i="5" s="1"/>
  <c r="N15" i="5"/>
  <c r="N12" i="5"/>
  <c r="N9" i="5" s="1"/>
  <c r="M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N815" i="4"/>
  <c r="M815" i="4"/>
  <c r="P815" i="4" s="1"/>
  <c r="L815" i="4"/>
  <c r="O815" i="4" s="1"/>
  <c r="P810" i="4"/>
  <c r="O810" i="4"/>
  <c r="N810" i="4"/>
  <c r="N807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N805" i="4"/>
  <c r="K804" i="4"/>
  <c r="J804" i="4"/>
  <c r="J803" i="4"/>
  <c r="I803" i="4"/>
  <c r="K803" i="4" s="1"/>
  <c r="J802" i="4"/>
  <c r="J801" i="4"/>
  <c r="I801" i="4"/>
  <c r="J800" i="4"/>
  <c r="P798" i="4"/>
  <c r="O798" i="4"/>
  <c r="P797" i="4"/>
  <c r="O797" i="4"/>
  <c r="P796" i="4"/>
  <c r="O796" i="4"/>
  <c r="N796" i="4"/>
  <c r="M796" i="4"/>
  <c r="L796" i="4"/>
  <c r="N795" i="4"/>
  <c r="P791" i="4"/>
  <c r="N791" i="4"/>
  <c r="L791" i="4"/>
  <c r="L788" i="4" s="1"/>
  <c r="L786" i="4" s="1"/>
  <c r="P790" i="4"/>
  <c r="O790" i="4"/>
  <c r="P789" i="4"/>
  <c r="N789" i="4"/>
  <c r="M789" i="4"/>
  <c r="N788" i="4"/>
  <c r="M788" i="4"/>
  <c r="P788" i="4" s="1"/>
  <c r="P787" i="4"/>
  <c r="N787" i="4"/>
  <c r="M787" i="4"/>
  <c r="M786" i="4" s="1"/>
  <c r="P786" i="4" s="1"/>
  <c r="L787" i="4"/>
  <c r="O787" i="4" s="1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P774" i="4"/>
  <c r="O774" i="4"/>
  <c r="P773" i="4"/>
  <c r="O773" i="4"/>
  <c r="M773" i="4"/>
  <c r="L773" i="4"/>
  <c r="P772" i="4"/>
  <c r="O772" i="4"/>
  <c r="M772" i="4"/>
  <c r="L772" i="4"/>
  <c r="L770" i="4" s="1"/>
  <c r="O770" i="4" s="1"/>
  <c r="O771" i="4"/>
  <c r="N771" i="4"/>
  <c r="M771" i="4"/>
  <c r="P771" i="4" s="1"/>
  <c r="L771" i="4"/>
  <c r="P770" i="4"/>
  <c r="M770" i="4"/>
  <c r="K769" i="4"/>
  <c r="J769" i="4"/>
  <c r="P766" i="4"/>
  <c r="O766" i="4"/>
  <c r="P765" i="4"/>
  <c r="O765" i="4"/>
  <c r="N764" i="4"/>
  <c r="M764" i="4"/>
  <c r="P764" i="4" s="1"/>
  <c r="L764" i="4"/>
  <c r="O764" i="4" s="1"/>
  <c r="P759" i="4"/>
  <c r="O759" i="4"/>
  <c r="N759" i="4"/>
  <c r="P758" i="4"/>
  <c r="O758" i="4"/>
  <c r="P757" i="4"/>
  <c r="O757" i="4"/>
  <c r="M757" i="4"/>
  <c r="L757" i="4"/>
  <c r="P756" i="4"/>
  <c r="O756" i="4"/>
  <c r="M756" i="4"/>
  <c r="L756" i="4"/>
  <c r="L754" i="4" s="1"/>
  <c r="O754" i="4" s="1"/>
  <c r="O755" i="4"/>
  <c r="N755" i="4"/>
  <c r="M755" i="4"/>
  <c r="P755" i="4" s="1"/>
  <c r="L755" i="4"/>
  <c r="P754" i="4"/>
  <c r="M754" i="4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P741" i="4"/>
  <c r="O741" i="4"/>
  <c r="P740" i="4"/>
  <c r="O740" i="4"/>
  <c r="M740" i="4"/>
  <c r="L740" i="4"/>
  <c r="P739" i="4"/>
  <c r="M739" i="4"/>
  <c r="L739" i="4"/>
  <c r="O738" i="4"/>
  <c r="N738" i="4"/>
  <c r="M738" i="4"/>
  <c r="P738" i="4" s="1"/>
  <c r="L738" i="4"/>
  <c r="M737" i="4"/>
  <c r="P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N695" i="4"/>
  <c r="M695" i="4"/>
  <c r="P695" i="4" s="1"/>
  <c r="L695" i="4"/>
  <c r="O695" i="4" s="1"/>
  <c r="P690" i="4"/>
  <c r="N690" i="4"/>
  <c r="N688" i="4" s="1"/>
  <c r="L690" i="4"/>
  <c r="L688" i="4" s="1"/>
  <c r="O688" i="4" s="1"/>
  <c r="P688" i="4"/>
  <c r="M688" i="4"/>
  <c r="N687" i="4"/>
  <c r="M687" i="4"/>
  <c r="P687" i="4" s="1"/>
  <c r="N686" i="4"/>
  <c r="N685" i="4" s="1"/>
  <c r="M686" i="4"/>
  <c r="L686" i="4"/>
  <c r="O686" i="4" s="1"/>
  <c r="J679" i="4"/>
  <c r="J678" i="4"/>
  <c r="I678" i="4"/>
  <c r="K678" i="4" s="1"/>
  <c r="J675" i="4"/>
  <c r="I671" i="4"/>
  <c r="K671" i="4" s="1"/>
  <c r="I670" i="4"/>
  <c r="K670" i="4" s="1"/>
  <c r="J669" i="4"/>
  <c r="I669" i="4"/>
  <c r="K674" i="4" s="1"/>
  <c r="P667" i="4"/>
  <c r="O667" i="4"/>
  <c r="P666" i="4"/>
  <c r="O666" i="4"/>
  <c r="P665" i="4"/>
  <c r="N665" i="4"/>
  <c r="M665" i="4"/>
  <c r="L665" i="4"/>
  <c r="O665" i="4" s="1"/>
  <c r="N664" i="4"/>
  <c r="P660" i="4"/>
  <c r="N660" i="4"/>
  <c r="N657" i="4" s="1"/>
  <c r="L660" i="4"/>
  <c r="L657" i="4" s="1"/>
  <c r="O657" i="4" s="1"/>
  <c r="P659" i="4"/>
  <c r="O659" i="4"/>
  <c r="P658" i="4"/>
  <c r="N658" i="4"/>
  <c r="M658" i="4"/>
  <c r="M657" i="4"/>
  <c r="P657" i="4" s="1"/>
  <c r="P656" i="4"/>
  <c r="N656" i="4"/>
  <c r="N655" i="4" s="1"/>
  <c r="M656" i="4"/>
  <c r="L656" i="4"/>
  <c r="M655" i="4"/>
  <c r="P655" i="4" s="1"/>
  <c r="J654" i="4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P639" i="4"/>
  <c r="N639" i="4"/>
  <c r="M639" i="4"/>
  <c r="P634" i="4"/>
  <c r="N634" i="4"/>
  <c r="L634" i="4"/>
  <c r="O634" i="4" s="1"/>
  <c r="P633" i="4"/>
  <c r="O633" i="4"/>
  <c r="P632" i="4"/>
  <c r="N632" i="4"/>
  <c r="M632" i="4"/>
  <c r="N631" i="4"/>
  <c r="M631" i="4"/>
  <c r="P631" i="4" s="1"/>
  <c r="P630" i="4"/>
  <c r="N630" i="4"/>
  <c r="N629" i="4" s="1"/>
  <c r="M630" i="4"/>
  <c r="M629" i="4" s="1"/>
  <c r="P629" i="4" s="1"/>
  <c r="L630" i="4"/>
  <c r="O630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I594" i="4"/>
  <c r="J593" i="4"/>
  <c r="I593" i="4"/>
  <c r="I592" i="4" s="1"/>
  <c r="J592" i="4"/>
  <c r="J583" i="4"/>
  <c r="J577" i="4" s="1"/>
  <c r="J582" i="4"/>
  <c r="J576" i="4" s="1"/>
  <c r="J559" i="4" s="1"/>
  <c r="J543" i="4" s="1"/>
  <c r="I577" i="4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P556" i="4"/>
  <c r="O556" i="4"/>
  <c r="P555" i="4"/>
  <c r="N555" i="4"/>
  <c r="N545" i="4" s="1"/>
  <c r="M555" i="4"/>
  <c r="M545" i="4" s="1"/>
  <c r="N553" i="4"/>
  <c r="N552" i="4"/>
  <c r="P549" i="4"/>
  <c r="N549" i="4"/>
  <c r="L549" i="4"/>
  <c r="P548" i="4"/>
  <c r="O548" i="4"/>
  <c r="M547" i="4"/>
  <c r="P547" i="4" s="1"/>
  <c r="P546" i="4"/>
  <c r="M546" i="4"/>
  <c r="O545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P534" i="4"/>
  <c r="O534" i="4"/>
  <c r="P533" i="4"/>
  <c r="N533" i="4"/>
  <c r="M533" i="4"/>
  <c r="P528" i="4"/>
  <c r="N528" i="4"/>
  <c r="L528" i="4"/>
  <c r="O528" i="4" s="1"/>
  <c r="P527" i="4"/>
  <c r="O527" i="4"/>
  <c r="N526" i="4"/>
  <c r="M526" i="4"/>
  <c r="P526" i="4" s="1"/>
  <c r="P525" i="4"/>
  <c r="N525" i="4"/>
  <c r="N523" i="4" s="1"/>
  <c r="M525" i="4"/>
  <c r="P524" i="4"/>
  <c r="O524" i="4"/>
  <c r="N524" i="4"/>
  <c r="M524" i="4"/>
  <c r="M523" i="4" s="1"/>
  <c r="P523" i="4" s="1"/>
  <c r="L524" i="4"/>
  <c r="K517" i="4"/>
  <c r="J517" i="4"/>
  <c r="K516" i="4"/>
  <c r="P514" i="4"/>
  <c r="O514" i="4"/>
  <c r="P513" i="4"/>
  <c r="O513" i="4"/>
  <c r="N512" i="4"/>
  <c r="M512" i="4"/>
  <c r="P512" i="4" s="1"/>
  <c r="L512" i="4"/>
  <c r="O512" i="4" s="1"/>
  <c r="P507" i="4"/>
  <c r="O507" i="4"/>
  <c r="N507" i="4"/>
  <c r="P506" i="4"/>
  <c r="O506" i="4"/>
  <c r="P505" i="4"/>
  <c r="O505" i="4"/>
  <c r="M505" i="4"/>
  <c r="L505" i="4"/>
  <c r="P504" i="4"/>
  <c r="M504" i="4"/>
  <c r="L504" i="4"/>
  <c r="O503" i="4"/>
  <c r="N503" i="4"/>
  <c r="M503" i="4"/>
  <c r="P503" i="4" s="1"/>
  <c r="L503" i="4"/>
  <c r="M502" i="4"/>
  <c r="P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P477" i="4"/>
  <c r="N477" i="4"/>
  <c r="M477" i="4"/>
  <c r="N473" i="4"/>
  <c r="N472" i="4" s="1"/>
  <c r="P472" i="4"/>
  <c r="L472" i="4"/>
  <c r="L470" i="4" s="1"/>
  <c r="P471" i="4"/>
  <c r="O471" i="4"/>
  <c r="P470" i="4"/>
  <c r="M470" i="4"/>
  <c r="M469" i="4"/>
  <c r="P468" i="4"/>
  <c r="N468" i="4"/>
  <c r="M468" i="4"/>
  <c r="L468" i="4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P454" i="4"/>
  <c r="N454" i="4"/>
  <c r="M454" i="4"/>
  <c r="N453" i="4"/>
  <c r="N452" i="4"/>
  <c r="N449" i="4" s="1"/>
  <c r="N447" i="4" s="1"/>
  <c r="N450" i="4"/>
  <c r="P449" i="4"/>
  <c r="L449" i="4"/>
  <c r="O449" i="4" s="1"/>
  <c r="P448" i="4"/>
  <c r="O448" i="4"/>
  <c r="P447" i="4"/>
  <c r="M447" i="4"/>
  <c r="N446" i="4"/>
  <c r="N444" i="4" s="1"/>
  <c r="M446" i="4"/>
  <c r="P446" i="4" s="1"/>
  <c r="N445" i="4"/>
  <c r="M445" i="4"/>
  <c r="L445" i="4"/>
  <c r="O445" i="4" s="1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J434" i="4"/>
  <c r="P431" i="4"/>
  <c r="L431" i="4"/>
  <c r="P430" i="4"/>
  <c r="O430" i="4"/>
  <c r="P429" i="4"/>
  <c r="N429" i="4"/>
  <c r="M429" i="4"/>
  <c r="N428" i="4"/>
  <c r="N425" i="4"/>
  <c r="N424" i="4" s="1"/>
  <c r="P424" i="4"/>
  <c r="L424" i="4"/>
  <c r="L422" i="4" s="1"/>
  <c r="P423" i="4"/>
  <c r="O423" i="4"/>
  <c r="P422" i="4"/>
  <c r="N422" i="4"/>
  <c r="M422" i="4"/>
  <c r="P421" i="4"/>
  <c r="M421" i="4"/>
  <c r="M419" i="4" s="1"/>
  <c r="P419" i="4" s="1"/>
  <c r="P420" i="4"/>
  <c r="O420" i="4"/>
  <c r="N420" i="4"/>
  <c r="M420" i="4"/>
  <c r="L420" i="4"/>
  <c r="J418" i="4"/>
  <c r="K413" i="4"/>
  <c r="K412" i="4"/>
  <c r="N410" i="4"/>
  <c r="M410" i="4"/>
  <c r="P410" i="4" s="1"/>
  <c r="L410" i="4"/>
  <c r="O410" i="4" s="1"/>
  <c r="P409" i="4"/>
  <c r="O409" i="4"/>
  <c r="N407" i="4"/>
  <c r="N405" i="4" s="1"/>
  <c r="M407" i="4"/>
  <c r="P407" i="4" s="1"/>
  <c r="L407" i="4"/>
  <c r="O407" i="4" s="1"/>
  <c r="P406" i="4"/>
  <c r="O406" i="4"/>
  <c r="P403" i="4"/>
  <c r="N403" i="4"/>
  <c r="M403" i="4"/>
  <c r="L403" i="4"/>
  <c r="O403" i="4" s="1"/>
  <c r="J401" i="4"/>
  <c r="I401" i="4"/>
  <c r="K401" i="4" s="1"/>
  <c r="K400" i="4"/>
  <c r="K399" i="4"/>
  <c r="N397" i="4"/>
  <c r="N395" i="4" s="1"/>
  <c r="M397" i="4"/>
  <c r="M395" i="4" s="1"/>
  <c r="P395" i="4" s="1"/>
  <c r="L397" i="4"/>
  <c r="L395" i="4" s="1"/>
  <c r="O395" i="4" s="1"/>
  <c r="P396" i="4"/>
  <c r="O396" i="4"/>
  <c r="N394" i="4"/>
  <c r="N392" i="4" s="1"/>
  <c r="M394" i="4"/>
  <c r="M392" i="4" s="1"/>
  <c r="P392" i="4" s="1"/>
  <c r="L394" i="4"/>
  <c r="L392" i="4" s="1"/>
  <c r="O392" i="4" s="1"/>
  <c r="P393" i="4"/>
  <c r="O393" i="4"/>
  <c r="P390" i="4"/>
  <c r="N390" i="4"/>
  <c r="M390" i="4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M348" i="4" s="1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M336" i="4"/>
  <c r="L336" i="4"/>
  <c r="O336" i="4" s="1"/>
  <c r="P335" i="4"/>
  <c r="O335" i="4"/>
  <c r="N333" i="4"/>
  <c r="N331" i="4" s="1"/>
  <c r="M333" i="4"/>
  <c r="L333" i="4"/>
  <c r="L331" i="4" s="1"/>
  <c r="P332" i="4"/>
  <c r="O332" i="4"/>
  <c r="P329" i="4"/>
  <c r="O329" i="4"/>
  <c r="N329" i="4"/>
  <c r="M329" i="4"/>
  <c r="L329" i="4"/>
  <c r="I327" i="4"/>
  <c r="I325" i="4"/>
  <c r="K325" i="4" s="1"/>
  <c r="N323" i="4"/>
  <c r="N321" i="4" s="1"/>
  <c r="M323" i="4"/>
  <c r="P323" i="4" s="1"/>
  <c r="L323" i="4"/>
  <c r="P322" i="4"/>
  <c r="O322" i="4"/>
  <c r="N320" i="4"/>
  <c r="N318" i="4" s="1"/>
  <c r="M320" i="4"/>
  <c r="L320" i="4"/>
  <c r="L318" i="4" s="1"/>
  <c r="P319" i="4"/>
  <c r="O319" i="4"/>
  <c r="N316" i="4"/>
  <c r="M316" i="4"/>
  <c r="P316" i="4" s="1"/>
  <c r="L316" i="4"/>
  <c r="O316" i="4" s="1"/>
  <c r="J314" i="4"/>
  <c r="I312" i="4"/>
  <c r="K312" i="4" s="1"/>
  <c r="I311" i="4"/>
  <c r="K311" i="4" s="1"/>
  <c r="I310" i="4"/>
  <c r="K310" i="4" s="1"/>
  <c r="I309" i="4"/>
  <c r="N306" i="4"/>
  <c r="N304" i="4" s="1"/>
  <c r="M306" i="4"/>
  <c r="P306" i="4" s="1"/>
  <c r="L306" i="4"/>
  <c r="O306" i="4" s="1"/>
  <c r="P305" i="4"/>
  <c r="O305" i="4"/>
  <c r="N303" i="4"/>
  <c r="N301" i="4" s="1"/>
  <c r="M303" i="4"/>
  <c r="L303" i="4"/>
  <c r="P302" i="4"/>
  <c r="O302" i="4"/>
  <c r="P299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75" i="4" s="1"/>
  <c r="I287" i="4"/>
  <c r="N285" i="4"/>
  <c r="M285" i="4"/>
  <c r="P285" i="4" s="1"/>
  <c r="L285" i="4"/>
  <c r="O285" i="4" s="1"/>
  <c r="P284" i="4"/>
  <c r="O284" i="4"/>
  <c r="N282" i="4"/>
  <c r="N280" i="4" s="1"/>
  <c r="M282" i="4"/>
  <c r="L282" i="4"/>
  <c r="L280" i="4" s="1"/>
  <c r="P281" i="4"/>
  <c r="O281" i="4"/>
  <c r="O278" i="4"/>
  <c r="N278" i="4"/>
  <c r="M278" i="4"/>
  <c r="P278" i="4" s="1"/>
  <c r="L278" i="4"/>
  <c r="J276" i="4"/>
  <c r="I271" i="4"/>
  <c r="N269" i="4"/>
  <c r="N267" i="4" s="1"/>
  <c r="M269" i="4"/>
  <c r="P269" i="4" s="1"/>
  <c r="L269" i="4"/>
  <c r="O269" i="4" s="1"/>
  <c r="P268" i="4"/>
  <c r="O268" i="4"/>
  <c r="N266" i="4"/>
  <c r="N264" i="4" s="1"/>
  <c r="M266" i="4"/>
  <c r="M264" i="4" s="1"/>
  <c r="L266" i="4"/>
  <c r="P265" i="4"/>
  <c r="O265" i="4"/>
  <c r="P262" i="4"/>
  <c r="N262" i="4"/>
  <c r="M262" i="4"/>
  <c r="L262" i="4"/>
  <c r="O262" i="4" s="1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J226" i="4" s="1"/>
  <c r="J180" i="4" s="1"/>
  <c r="J236" i="4"/>
  <c r="K236" i="4" s="1"/>
  <c r="I236" i="4"/>
  <c r="J235" i="4"/>
  <c r="I235" i="4"/>
  <c r="K235" i="4" s="1"/>
  <c r="J233" i="4"/>
  <c r="N231" i="4"/>
  <c r="N230" i="4"/>
  <c r="N229" i="4"/>
  <c r="N228" i="4"/>
  <c r="N227" i="4"/>
  <c r="I225" i="4"/>
  <c r="I224" i="4"/>
  <c r="K224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N184" i="4" s="1"/>
  <c r="M186" i="4"/>
  <c r="M184" i="4" s="1"/>
  <c r="L186" i="4"/>
  <c r="P185" i="4"/>
  <c r="O185" i="4"/>
  <c r="P182" i="4"/>
  <c r="O182" i="4"/>
  <c r="N182" i="4"/>
  <c r="M182" i="4"/>
  <c r="L182" i="4"/>
  <c r="J177" i="4"/>
  <c r="J164" i="4" s="1"/>
  <c r="I176" i="4"/>
  <c r="J174" i="4"/>
  <c r="N173" i="4"/>
  <c r="N171" i="4" s="1"/>
  <c r="M173" i="4"/>
  <c r="L173" i="4"/>
  <c r="L171" i="4" s="1"/>
  <c r="O171" i="4" s="1"/>
  <c r="P172" i="4"/>
  <c r="O172" i="4"/>
  <c r="N170" i="4"/>
  <c r="N168" i="4" s="1"/>
  <c r="M170" i="4"/>
  <c r="M168" i="4" s="1"/>
  <c r="L170" i="4"/>
  <c r="P169" i="4"/>
  <c r="O169" i="4"/>
  <c r="P166" i="4"/>
  <c r="O166" i="4"/>
  <c r="N166" i="4"/>
  <c r="M166" i="4"/>
  <c r="L166" i="4"/>
  <c r="I159" i="4"/>
  <c r="I148" i="4" s="1"/>
  <c r="K148" i="4" s="1"/>
  <c r="N157" i="4"/>
  <c r="N155" i="4" s="1"/>
  <c r="M157" i="4"/>
  <c r="P157" i="4" s="1"/>
  <c r="L157" i="4"/>
  <c r="O157" i="4" s="1"/>
  <c r="P156" i="4"/>
  <c r="O156" i="4"/>
  <c r="N154" i="4"/>
  <c r="M154" i="4"/>
  <c r="M152" i="4" s="1"/>
  <c r="L154" i="4"/>
  <c r="O154" i="4" s="1"/>
  <c r="P153" i="4"/>
  <c r="O153" i="4"/>
  <c r="P150" i="4"/>
  <c r="N150" i="4"/>
  <c r="M150" i="4"/>
  <c r="L150" i="4"/>
  <c r="O150" i="4" s="1"/>
  <c r="J148" i="4"/>
  <c r="I146" i="4"/>
  <c r="K146" i="4" s="1"/>
  <c r="I145" i="4"/>
  <c r="K145" i="4" s="1"/>
  <c r="I144" i="4"/>
  <c r="N140" i="4"/>
  <c r="N138" i="4" s="1"/>
  <c r="M140" i="4"/>
  <c r="M138" i="4" s="1"/>
  <c r="P138" i="4" s="1"/>
  <c r="L140" i="4"/>
  <c r="L138" i="4" s="1"/>
  <c r="O138" i="4" s="1"/>
  <c r="P139" i="4"/>
  <c r="O139" i="4"/>
  <c r="N137" i="4"/>
  <c r="N135" i="4" s="1"/>
  <c r="M137" i="4"/>
  <c r="M135" i="4" s="1"/>
  <c r="P135" i="4" s="1"/>
  <c r="L137" i="4"/>
  <c r="L135" i="4" s="1"/>
  <c r="O135" i="4" s="1"/>
  <c r="P136" i="4"/>
  <c r="O136" i="4"/>
  <c r="O133" i="4"/>
  <c r="N133" i="4"/>
  <c r="M133" i="4"/>
  <c r="P133" i="4" s="1"/>
  <c r="L133" i="4"/>
  <c r="J130" i="4"/>
  <c r="N127" i="4"/>
  <c r="N125" i="4" s="1"/>
  <c r="M127" i="4"/>
  <c r="P127" i="4" s="1"/>
  <c r="L127" i="4"/>
  <c r="P126" i="4"/>
  <c r="O126" i="4"/>
  <c r="N124" i="4"/>
  <c r="M124" i="4"/>
  <c r="P124" i="4" s="1"/>
  <c r="L124" i="4"/>
  <c r="O124" i="4" s="1"/>
  <c r="P123" i="4"/>
  <c r="O123" i="4"/>
  <c r="P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J98" i="4"/>
  <c r="I98" i="4"/>
  <c r="K98" i="4" s="1"/>
  <c r="N96" i="4"/>
  <c r="N94" i="4" s="1"/>
  <c r="M96" i="4"/>
  <c r="M94" i="4" s="1"/>
  <c r="P94" i="4" s="1"/>
  <c r="L96" i="4"/>
  <c r="P95" i="4"/>
  <c r="O95" i="4"/>
  <c r="N93" i="4"/>
  <c r="M93" i="4"/>
  <c r="M91" i="4" s="1"/>
  <c r="L93" i="4"/>
  <c r="L91" i="4" s="1"/>
  <c r="P92" i="4"/>
  <c r="O92" i="4"/>
  <c r="N89" i="4"/>
  <c r="M89" i="4"/>
  <c r="P89" i="4" s="1"/>
  <c r="L89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76" i="4"/>
  <c r="J64" i="4" s="1"/>
  <c r="N74" i="4"/>
  <c r="N72" i="4" s="1"/>
  <c r="M74" i="4"/>
  <c r="P74" i="4" s="1"/>
  <c r="L74" i="4"/>
  <c r="L72" i="4" s="1"/>
  <c r="O72" i="4" s="1"/>
  <c r="P73" i="4"/>
  <c r="O73" i="4"/>
  <c r="N71" i="4"/>
  <c r="M71" i="4"/>
  <c r="P71" i="4" s="1"/>
  <c r="L71" i="4"/>
  <c r="L69" i="4" s="1"/>
  <c r="O69" i="4" s="1"/>
  <c r="P70" i="4"/>
  <c r="O70" i="4"/>
  <c r="N67" i="4"/>
  <c r="M67" i="4"/>
  <c r="P67" i="4" s="1"/>
  <c r="L67" i="4"/>
  <c r="O67" i="4" s="1"/>
  <c r="J65" i="4"/>
  <c r="N61" i="4"/>
  <c r="M61" i="4"/>
  <c r="M59" i="4" s="1"/>
  <c r="L61" i="4"/>
  <c r="L59" i="4" s="1"/>
  <c r="P60" i="4"/>
  <c r="O60" i="4"/>
  <c r="N58" i="4"/>
  <c r="N56" i="4" s="1"/>
  <c r="M58" i="4"/>
  <c r="M56" i="4" s="1"/>
  <c r="L58" i="4"/>
  <c r="L56" i="4" s="1"/>
  <c r="P57" i="4"/>
  <c r="O57" i="4"/>
  <c r="P54" i="4"/>
  <c r="N54" i="4"/>
  <c r="M54" i="4"/>
  <c r="L54" i="4"/>
  <c r="N49" i="4"/>
  <c r="N47" i="4" s="1"/>
  <c r="M49" i="4"/>
  <c r="L49" i="4"/>
  <c r="L47" i="4" s="1"/>
  <c r="O47" i="4" s="1"/>
  <c r="P48" i="4"/>
  <c r="O48" i="4"/>
  <c r="N46" i="4"/>
  <c r="M46" i="4"/>
  <c r="L46" i="4"/>
  <c r="P45" i="4"/>
  <c r="O45" i="4"/>
  <c r="O42" i="4"/>
  <c r="N42" i="4"/>
  <c r="M42" i="4"/>
  <c r="P42" i="4" s="1"/>
  <c r="L42" i="4"/>
  <c r="P36" i="4"/>
  <c r="N36" i="4"/>
  <c r="M36" i="4"/>
  <c r="P35" i="4"/>
  <c r="O35" i="4"/>
  <c r="N35" i="4"/>
  <c r="M35" i="4"/>
  <c r="M34" i="4" s="1"/>
  <c r="P34" i="4" s="1"/>
  <c r="L35" i="4"/>
  <c r="N34" i="4"/>
  <c r="M33" i="4"/>
  <c r="P33" i="4" s="1"/>
  <c r="N32" i="4"/>
  <c r="M32" i="4"/>
  <c r="P32" i="4" s="1"/>
  <c r="L32" i="4"/>
  <c r="O32" i="4" s="1"/>
  <c r="M30" i="4"/>
  <c r="P30" i="4" s="1"/>
  <c r="N29" i="4"/>
  <c r="M29" i="4"/>
  <c r="P29" i="4" s="1"/>
  <c r="L29" i="4"/>
  <c r="P25" i="4"/>
  <c r="O25" i="4"/>
  <c r="N25" i="4"/>
  <c r="M25" i="4"/>
  <c r="L25" i="4"/>
  <c r="N22" i="4"/>
  <c r="N19" i="4" s="1"/>
  <c r="M22" i="4"/>
  <c r="P22" i="4" s="1"/>
  <c r="L22" i="4"/>
  <c r="N15" i="4"/>
  <c r="M15" i="4"/>
  <c r="P15" i="4" s="1"/>
  <c r="L15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P809" i="3"/>
  <c r="O809" i="3"/>
  <c r="O808" i="3"/>
  <c r="M808" i="3"/>
  <c r="P808" i="3" s="1"/>
  <c r="L808" i="3"/>
  <c r="M807" i="3"/>
  <c r="L807" i="3"/>
  <c r="O807" i="3" s="1"/>
  <c r="N806" i="3"/>
  <c r="N805" i="3" s="1"/>
  <c r="M806" i="3"/>
  <c r="P806" i="3" s="1"/>
  <c r="L806" i="3"/>
  <c r="K804" i="3"/>
  <c r="J804" i="3"/>
  <c r="K802" i="3"/>
  <c r="J801" i="3"/>
  <c r="J785" i="3" s="1"/>
  <c r="J800" i="3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L791" i="3"/>
  <c r="L788" i="3" s="1"/>
  <c r="O788" i="3" s="1"/>
  <c r="P790" i="3"/>
  <c r="O790" i="3"/>
  <c r="N789" i="3"/>
  <c r="M789" i="3"/>
  <c r="P789" i="3" s="1"/>
  <c r="M788" i="3"/>
  <c r="N787" i="3"/>
  <c r="M787" i="3"/>
  <c r="P787" i="3" s="1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O773" i="3"/>
  <c r="N773" i="3"/>
  <c r="M773" i="3"/>
  <c r="P773" i="3" s="1"/>
  <c r="L773" i="3"/>
  <c r="N772" i="3"/>
  <c r="N770" i="3" s="1"/>
  <c r="M772" i="3"/>
  <c r="P772" i="3" s="1"/>
  <c r="L772" i="3"/>
  <c r="O772" i="3" s="1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O757" i="3"/>
  <c r="N757" i="3"/>
  <c r="M757" i="3"/>
  <c r="P757" i="3" s="1"/>
  <c r="L757" i="3"/>
  <c r="N756" i="3"/>
  <c r="N754" i="3" s="1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P741" i="3"/>
  <c r="O741" i="3"/>
  <c r="O740" i="3"/>
  <c r="N740" i="3"/>
  <c r="M740" i="3"/>
  <c r="P740" i="3" s="1"/>
  <c r="L740" i="3"/>
  <c r="N739" i="3"/>
  <c r="N737" i="3" s="1"/>
  <c r="M739" i="3"/>
  <c r="P739" i="3" s="1"/>
  <c r="L739" i="3"/>
  <c r="O739" i="3" s="1"/>
  <c r="N738" i="3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P690" i="3"/>
  <c r="N690" i="3"/>
  <c r="N687" i="3" s="1"/>
  <c r="L690" i="3"/>
  <c r="L688" i="3" s="1"/>
  <c r="O688" i="3" s="1"/>
  <c r="N688" i="3"/>
  <c r="M688" i="3"/>
  <c r="P688" i="3" s="1"/>
  <c r="M687" i="3"/>
  <c r="P686" i="3"/>
  <c r="N686" i="3"/>
  <c r="N685" i="3" s="1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I669" i="3"/>
  <c r="K674" i="3" s="1"/>
  <c r="P667" i="3"/>
  <c r="O667" i="3"/>
  <c r="P666" i="3"/>
  <c r="O666" i="3"/>
  <c r="P665" i="3"/>
  <c r="N665" i="3"/>
  <c r="M665" i="3"/>
  <c r="L665" i="3"/>
  <c r="O665" i="3" s="1"/>
  <c r="N664" i="3"/>
  <c r="N660" i="3" s="1"/>
  <c r="P660" i="3"/>
  <c r="L660" i="3"/>
  <c r="L658" i="3" s="1"/>
  <c r="P659" i="3"/>
  <c r="O659" i="3"/>
  <c r="P658" i="3"/>
  <c r="M658" i="3"/>
  <c r="P657" i="3"/>
  <c r="M657" i="3"/>
  <c r="P656" i="3"/>
  <c r="O656" i="3"/>
  <c r="N656" i="3"/>
  <c r="M656" i="3"/>
  <c r="M655" i="3" s="1"/>
  <c r="P655" i="3" s="1"/>
  <c r="L656" i="3"/>
  <c r="J654" i="3"/>
  <c r="I654" i="3"/>
  <c r="K654" i="3" s="1"/>
  <c r="K652" i="3"/>
  <c r="J652" i="3"/>
  <c r="J651" i="3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P634" i="3"/>
  <c r="N634" i="3"/>
  <c r="N631" i="3" s="1"/>
  <c r="L634" i="3"/>
  <c r="P633" i="3"/>
  <c r="O633" i="3"/>
  <c r="N632" i="3"/>
  <c r="M632" i="3"/>
  <c r="P632" i="3" s="1"/>
  <c r="M631" i="3"/>
  <c r="P630" i="3"/>
  <c r="N630" i="3"/>
  <c r="N629" i="3" s="1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594" i="3" s="1"/>
  <c r="J603" i="3"/>
  <c r="J596" i="3"/>
  <c r="J595" i="3"/>
  <c r="J593" i="3" s="1"/>
  <c r="J592" i="3" s="1"/>
  <c r="I594" i="3"/>
  <c r="I593" i="3"/>
  <c r="J583" i="3"/>
  <c r="J582" i="3"/>
  <c r="J577" i="3"/>
  <c r="I577" i="3"/>
  <c r="J576" i="3"/>
  <c r="I576" i="3"/>
  <c r="I559" i="3" s="1"/>
  <c r="I543" i="3" s="1"/>
  <c r="K543" i="3" s="1"/>
  <c r="J569" i="3"/>
  <c r="I569" i="3"/>
  <c r="J568" i="3"/>
  <c r="I568" i="3"/>
  <c r="J561" i="3"/>
  <c r="I561" i="3"/>
  <c r="J560" i="3"/>
  <c r="I560" i="3"/>
  <c r="J559" i="3"/>
  <c r="J543" i="3" s="1"/>
  <c r="P557" i="3"/>
  <c r="L557" i="3"/>
  <c r="O557" i="3" s="1"/>
  <c r="P556" i="3"/>
  <c r="O556" i="3"/>
  <c r="N555" i="3"/>
  <c r="N545" i="3" s="1"/>
  <c r="M555" i="3"/>
  <c r="P555" i="3" s="1"/>
  <c r="N553" i="3"/>
  <c r="N549" i="3" s="1"/>
  <c r="P549" i="3"/>
  <c r="L549" i="3"/>
  <c r="L547" i="3" s="1"/>
  <c r="P548" i="3"/>
  <c r="O548" i="3"/>
  <c r="M547" i="3"/>
  <c r="P547" i="3" s="1"/>
  <c r="P546" i="3"/>
  <c r="M546" i="3"/>
  <c r="P545" i="3"/>
  <c r="O545" i="3"/>
  <c r="M545" i="3"/>
  <c r="M544" i="3" s="1"/>
  <c r="P544" i="3" s="1"/>
  <c r="L545" i="3"/>
  <c r="I542" i="3"/>
  <c r="K542" i="3" s="1"/>
  <c r="I541" i="3"/>
  <c r="K541" i="3" s="1"/>
  <c r="I540" i="3"/>
  <c r="K540" i="3" s="1"/>
  <c r="I539" i="3"/>
  <c r="I538" i="3"/>
  <c r="K538" i="3" s="1"/>
  <c r="I537" i="3"/>
  <c r="K537" i="3" s="1"/>
  <c r="P535" i="3"/>
  <c r="L535" i="3"/>
  <c r="O535" i="3" s="1"/>
  <c r="P534" i="3"/>
  <c r="O534" i="3"/>
  <c r="P533" i="3"/>
  <c r="N533" i="3"/>
  <c r="M533" i="3"/>
  <c r="P528" i="3"/>
  <c r="N528" i="3"/>
  <c r="L528" i="3"/>
  <c r="O528" i="3" s="1"/>
  <c r="P527" i="3"/>
  <c r="O527" i="3"/>
  <c r="P526" i="3"/>
  <c r="N526" i="3"/>
  <c r="M526" i="3"/>
  <c r="N525" i="3"/>
  <c r="M525" i="3"/>
  <c r="P525" i="3" s="1"/>
  <c r="P524" i="3"/>
  <c r="N524" i="3"/>
  <c r="N523" i="3" s="1"/>
  <c r="M524" i="3"/>
  <c r="L524" i="3"/>
  <c r="O524" i="3" s="1"/>
  <c r="M523" i="3"/>
  <c r="P523" i="3" s="1"/>
  <c r="K517" i="3"/>
  <c r="J517" i="3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N504" i="3" s="1"/>
  <c r="P506" i="3"/>
  <c r="O506" i="3"/>
  <c r="P505" i="3"/>
  <c r="O505" i="3"/>
  <c r="M505" i="3"/>
  <c r="L505" i="3"/>
  <c r="O504" i="3"/>
  <c r="M504" i="3"/>
  <c r="P504" i="3" s="1"/>
  <c r="L504" i="3"/>
  <c r="N503" i="3"/>
  <c r="M503" i="3"/>
  <c r="P503" i="3" s="1"/>
  <c r="L503" i="3"/>
  <c r="M502" i="3"/>
  <c r="P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N477" i="3"/>
  <c r="M477" i="3"/>
  <c r="P477" i="3" s="1"/>
  <c r="N476" i="3"/>
  <c r="P472" i="3"/>
  <c r="N472" i="3"/>
  <c r="N469" i="3" s="1"/>
  <c r="N467" i="3" s="1"/>
  <c r="L472" i="3"/>
  <c r="L470" i="3" s="1"/>
  <c r="P471" i="3"/>
  <c r="O471" i="3"/>
  <c r="M470" i="3"/>
  <c r="P470" i="3" s="1"/>
  <c r="M469" i="3"/>
  <c r="P469" i="3" s="1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I460" i="3"/>
  <c r="K458" i="3"/>
  <c r="P456" i="3"/>
  <c r="L456" i="3"/>
  <c r="P455" i="3"/>
  <c r="O455" i="3"/>
  <c r="N454" i="3"/>
  <c r="M454" i="3"/>
  <c r="P454" i="3" s="1"/>
  <c r="N453" i="3"/>
  <c r="N449" i="3" s="1"/>
  <c r="P449" i="3"/>
  <c r="L449" i="3"/>
  <c r="P448" i="3"/>
  <c r="O448" i="3"/>
  <c r="M447" i="3"/>
  <c r="P447" i="3" s="1"/>
  <c r="P446" i="3"/>
  <c r="M446" i="3"/>
  <c r="O445" i="3"/>
  <c r="N445" i="3"/>
  <c r="M445" i="3"/>
  <c r="P445" i="3" s="1"/>
  <c r="L445" i="3"/>
  <c r="M444" i="3"/>
  <c r="P444" i="3" s="1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K435" i="3" s="1"/>
  <c r="J434" i="3"/>
  <c r="J418" i="3" s="1"/>
  <c r="P431" i="3"/>
  <c r="L431" i="3"/>
  <c r="O431" i="3" s="1"/>
  <c r="P430" i="3"/>
  <c r="O430" i="3"/>
  <c r="N429" i="3"/>
  <c r="M429" i="3"/>
  <c r="P429" i="3" s="1"/>
  <c r="N428" i="3"/>
  <c r="P424" i="3"/>
  <c r="N424" i="3"/>
  <c r="L424" i="3"/>
  <c r="L422" i="3" s="1"/>
  <c r="P423" i="3"/>
  <c r="O423" i="3"/>
  <c r="M422" i="3"/>
  <c r="P422" i="3" s="1"/>
  <c r="M421" i="3"/>
  <c r="P421" i="3" s="1"/>
  <c r="P420" i="3"/>
  <c r="O420" i="3"/>
  <c r="N420" i="3"/>
  <c r="M420" i="3"/>
  <c r="L420" i="3"/>
  <c r="K413" i="3"/>
  <c r="K412" i="3"/>
  <c r="N410" i="3"/>
  <c r="N408" i="3" s="1"/>
  <c r="M410" i="3"/>
  <c r="P410" i="3" s="1"/>
  <c r="L410" i="3"/>
  <c r="L408" i="3" s="1"/>
  <c r="O408" i="3" s="1"/>
  <c r="P409" i="3"/>
  <c r="O409" i="3"/>
  <c r="N407" i="3"/>
  <c r="N405" i="3" s="1"/>
  <c r="M407" i="3"/>
  <c r="P407" i="3" s="1"/>
  <c r="L407" i="3"/>
  <c r="L405" i="3" s="1"/>
  <c r="O405" i="3" s="1"/>
  <c r="P406" i="3"/>
  <c r="O406" i="3"/>
  <c r="N403" i="3"/>
  <c r="M403" i="3"/>
  <c r="L403" i="3"/>
  <c r="O403" i="3" s="1"/>
  <c r="J401" i="3"/>
  <c r="I401" i="3"/>
  <c r="K401" i="3" s="1"/>
  <c r="K400" i="3"/>
  <c r="K399" i="3"/>
  <c r="N397" i="3"/>
  <c r="N395" i="3" s="1"/>
  <c r="M397" i="3"/>
  <c r="M395" i="3" s="1"/>
  <c r="P395" i="3" s="1"/>
  <c r="L397" i="3"/>
  <c r="O397" i="3" s="1"/>
  <c r="P396" i="3"/>
  <c r="O396" i="3"/>
  <c r="N394" i="3"/>
  <c r="M394" i="3"/>
  <c r="L394" i="3"/>
  <c r="O394" i="3" s="1"/>
  <c r="P393" i="3"/>
  <c r="O393" i="3"/>
  <c r="P390" i="3"/>
  <c r="O390" i="3"/>
  <c r="N390" i="3"/>
  <c r="M390" i="3"/>
  <c r="L390" i="3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N348" i="3" s="1"/>
  <c r="M350" i="3"/>
  <c r="M348" i="3" s="1"/>
  <c r="L350" i="3"/>
  <c r="P349" i="3"/>
  <c r="O349" i="3"/>
  <c r="P346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O336" i="3" s="1"/>
  <c r="P335" i="3"/>
  <c r="O335" i="3"/>
  <c r="N333" i="3"/>
  <c r="M333" i="3"/>
  <c r="M331" i="3" s="1"/>
  <c r="L333" i="3"/>
  <c r="L331" i="3" s="1"/>
  <c r="P332" i="3"/>
  <c r="O332" i="3"/>
  <c r="O329" i="3"/>
  <c r="N329" i="3"/>
  <c r="M329" i="3"/>
  <c r="L329" i="3"/>
  <c r="I327" i="3"/>
  <c r="I325" i="3"/>
  <c r="N323" i="3"/>
  <c r="N321" i="3" s="1"/>
  <c r="M323" i="3"/>
  <c r="P323" i="3" s="1"/>
  <c r="L323" i="3"/>
  <c r="L321" i="3" s="1"/>
  <c r="O321" i="3" s="1"/>
  <c r="P322" i="3"/>
  <c r="O322" i="3"/>
  <c r="N320" i="3"/>
  <c r="M320" i="3"/>
  <c r="P320" i="3" s="1"/>
  <c r="L320" i="3"/>
  <c r="L318" i="3" s="1"/>
  <c r="O318" i="3" s="1"/>
  <c r="P319" i="3"/>
  <c r="O319" i="3"/>
  <c r="O316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O306" i="3" s="1"/>
  <c r="P305" i="3"/>
  <c r="O305" i="3"/>
  <c r="N303" i="3"/>
  <c r="M303" i="3"/>
  <c r="M301" i="3" s="1"/>
  <c r="L303" i="3"/>
  <c r="L301" i="3" s="1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J275" i="3" s="1"/>
  <c r="I287" i="3"/>
  <c r="I276" i="3" s="1"/>
  <c r="N285" i="3"/>
  <c r="M285" i="3"/>
  <c r="P285" i="3" s="1"/>
  <c r="L285" i="3"/>
  <c r="L283" i="3" s="1"/>
  <c r="O283" i="3" s="1"/>
  <c r="P284" i="3"/>
  <c r="O284" i="3"/>
  <c r="N282" i="3"/>
  <c r="N280" i="3" s="1"/>
  <c r="M282" i="3"/>
  <c r="L282" i="3"/>
  <c r="L280" i="3" s="1"/>
  <c r="P281" i="3"/>
  <c r="O281" i="3"/>
  <c r="P278" i="3"/>
  <c r="N278" i="3"/>
  <c r="M278" i="3"/>
  <c r="L278" i="3"/>
  <c r="J276" i="3"/>
  <c r="I271" i="3"/>
  <c r="K271" i="3" s="1"/>
  <c r="N269" i="3"/>
  <c r="N267" i="3" s="1"/>
  <c r="M269" i="3"/>
  <c r="P269" i="3" s="1"/>
  <c r="L269" i="3"/>
  <c r="O269" i="3" s="1"/>
  <c r="P268" i="3"/>
  <c r="O268" i="3"/>
  <c r="N266" i="3"/>
  <c r="M266" i="3"/>
  <c r="L266" i="3"/>
  <c r="P265" i="3"/>
  <c r="O265" i="3"/>
  <c r="P262" i="3"/>
  <c r="N262" i="3"/>
  <c r="M262" i="3"/>
  <c r="L262" i="3"/>
  <c r="O262" i="3" s="1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I237" i="3" s="1"/>
  <c r="L242" i="3"/>
  <c r="L241" i="3"/>
  <c r="L240" i="3"/>
  <c r="L239" i="3"/>
  <c r="P238" i="3"/>
  <c r="N238" i="3"/>
  <c r="J237" i="3"/>
  <c r="J226" i="3" s="1"/>
  <c r="J180" i="3" s="1"/>
  <c r="J236" i="3"/>
  <c r="I236" i="3"/>
  <c r="K236" i="3" s="1"/>
  <c r="J235" i="3"/>
  <c r="I235" i="3"/>
  <c r="K235" i="3" s="1"/>
  <c r="J233" i="3"/>
  <c r="N231" i="3"/>
  <c r="N230" i="3"/>
  <c r="N229" i="3"/>
  <c r="N228" i="3"/>
  <c r="N227" i="3"/>
  <c r="I225" i="3"/>
  <c r="I224" i="3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N187" i="3" s="1"/>
  <c r="M189" i="3"/>
  <c r="L189" i="3"/>
  <c r="O189" i="3" s="1"/>
  <c r="P188" i="3"/>
  <c r="O188" i="3"/>
  <c r="N186" i="3"/>
  <c r="N184" i="3" s="1"/>
  <c r="M186" i="3"/>
  <c r="M184" i="3" s="1"/>
  <c r="L186" i="3"/>
  <c r="P185" i="3"/>
  <c r="O185" i="3"/>
  <c r="P182" i="3"/>
  <c r="O182" i="3"/>
  <c r="N182" i="3"/>
  <c r="M182" i="3"/>
  <c r="L182" i="3"/>
  <c r="J177" i="3"/>
  <c r="J164" i="3" s="1"/>
  <c r="I176" i="3"/>
  <c r="K176" i="3" s="1"/>
  <c r="J174" i="3"/>
  <c r="N173" i="3"/>
  <c r="N171" i="3" s="1"/>
  <c r="M173" i="3"/>
  <c r="P173" i="3" s="1"/>
  <c r="L173" i="3"/>
  <c r="O173" i="3" s="1"/>
  <c r="P172" i="3"/>
  <c r="O172" i="3"/>
  <c r="N170" i="3"/>
  <c r="N168" i="3" s="1"/>
  <c r="M170" i="3"/>
  <c r="L170" i="3"/>
  <c r="P169" i="3"/>
  <c r="O169" i="3"/>
  <c r="P166" i="3"/>
  <c r="O166" i="3"/>
  <c r="N166" i="3"/>
  <c r="M166" i="3"/>
  <c r="L166" i="3"/>
  <c r="I159" i="3"/>
  <c r="K159" i="3" s="1"/>
  <c r="N157" i="3"/>
  <c r="N155" i="3" s="1"/>
  <c r="M157" i="3"/>
  <c r="P157" i="3" s="1"/>
  <c r="L157" i="3"/>
  <c r="O157" i="3" s="1"/>
  <c r="P156" i="3"/>
  <c r="O156" i="3"/>
  <c r="N154" i="3"/>
  <c r="N152" i="3" s="1"/>
  <c r="M154" i="3"/>
  <c r="L154" i="3"/>
  <c r="P153" i="3"/>
  <c r="O153" i="3"/>
  <c r="P150" i="3"/>
  <c r="N150" i="3"/>
  <c r="M150" i="3"/>
  <c r="L150" i="3"/>
  <c r="O150" i="3" s="1"/>
  <c r="J148" i="3"/>
  <c r="I146" i="3"/>
  <c r="K146" i="3" s="1"/>
  <c r="I145" i="3"/>
  <c r="K145" i="3" s="1"/>
  <c r="I144" i="3"/>
  <c r="N140" i="3"/>
  <c r="M140" i="3"/>
  <c r="M138" i="3" s="1"/>
  <c r="L140" i="3"/>
  <c r="L138" i="3" s="1"/>
  <c r="P139" i="3"/>
  <c r="O139" i="3"/>
  <c r="N137" i="3"/>
  <c r="M137" i="3"/>
  <c r="M135" i="3" s="1"/>
  <c r="L137" i="3"/>
  <c r="L135" i="3" s="1"/>
  <c r="P136" i="3"/>
  <c r="O136" i="3"/>
  <c r="O133" i="3"/>
  <c r="N133" i="3"/>
  <c r="M133" i="3"/>
  <c r="L133" i="3"/>
  <c r="J130" i="3"/>
  <c r="N127" i="3"/>
  <c r="N125" i="3" s="1"/>
  <c r="M127" i="3"/>
  <c r="P127" i="3" s="1"/>
  <c r="L127" i="3"/>
  <c r="P126" i="3"/>
  <c r="O126" i="3"/>
  <c r="N124" i="3"/>
  <c r="M124" i="3"/>
  <c r="P124" i="3" s="1"/>
  <c r="L124" i="3"/>
  <c r="O124" i="3" s="1"/>
  <c r="P123" i="3"/>
  <c r="O123" i="3"/>
  <c r="P120" i="3"/>
  <c r="N120" i="3"/>
  <c r="M120" i="3"/>
  <c r="L120" i="3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K99" i="3" s="1"/>
  <c r="J98" i="3"/>
  <c r="J86" i="3" s="1"/>
  <c r="I98" i="3"/>
  <c r="I86" i="3" s="1"/>
  <c r="K86" i="3" s="1"/>
  <c r="N96" i="3"/>
  <c r="N94" i="3" s="1"/>
  <c r="M96" i="3"/>
  <c r="L96" i="3"/>
  <c r="O96" i="3" s="1"/>
  <c r="P95" i="3"/>
  <c r="O95" i="3"/>
  <c r="N93" i="3"/>
  <c r="N91" i="3" s="1"/>
  <c r="M93" i="3"/>
  <c r="L93" i="3"/>
  <c r="L91" i="3" s="1"/>
  <c r="P92" i="3"/>
  <c r="O92" i="3"/>
  <c r="P89" i="3"/>
  <c r="N89" i="3"/>
  <c r="M89" i="3"/>
  <c r="L89" i="3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K78" i="3" s="1"/>
  <c r="J77" i="3"/>
  <c r="J76" i="3"/>
  <c r="J64" i="3" s="1"/>
  <c r="N74" i="3"/>
  <c r="N72" i="3" s="1"/>
  <c r="M74" i="3"/>
  <c r="M72" i="3" s="1"/>
  <c r="P72" i="3" s="1"/>
  <c r="L74" i="3"/>
  <c r="O74" i="3" s="1"/>
  <c r="P73" i="3"/>
  <c r="O73" i="3"/>
  <c r="N71" i="3"/>
  <c r="M71" i="3"/>
  <c r="M69" i="3" s="1"/>
  <c r="L71" i="3"/>
  <c r="L69" i="3" s="1"/>
  <c r="P70" i="3"/>
  <c r="O70" i="3"/>
  <c r="P67" i="3"/>
  <c r="O67" i="3"/>
  <c r="N67" i="3"/>
  <c r="M67" i="3"/>
  <c r="L67" i="3"/>
  <c r="J65" i="3"/>
  <c r="N61" i="3"/>
  <c r="N59" i="3" s="1"/>
  <c r="M61" i="3"/>
  <c r="L61" i="3"/>
  <c r="P60" i="3"/>
  <c r="O60" i="3"/>
  <c r="N58" i="3"/>
  <c r="N56" i="3" s="1"/>
  <c r="M58" i="3"/>
  <c r="L58" i="3"/>
  <c r="L56" i="3" s="1"/>
  <c r="P57" i="3"/>
  <c r="O57" i="3"/>
  <c r="N54" i="3"/>
  <c r="M54" i="3"/>
  <c r="P54" i="3" s="1"/>
  <c r="L54" i="3"/>
  <c r="N49" i="3"/>
  <c r="M49" i="3"/>
  <c r="P49" i="3" s="1"/>
  <c r="L49" i="3"/>
  <c r="P48" i="3"/>
  <c r="O48" i="3"/>
  <c r="N46" i="3"/>
  <c r="N44" i="3" s="1"/>
  <c r="M46" i="3"/>
  <c r="M44" i="3" s="1"/>
  <c r="L46" i="3"/>
  <c r="L44" i="3" s="1"/>
  <c r="P45" i="3"/>
  <c r="O45" i="3"/>
  <c r="P42" i="3"/>
  <c r="N42" i="3"/>
  <c r="M42" i="3"/>
  <c r="L42" i="3"/>
  <c r="N36" i="3"/>
  <c r="M36" i="3"/>
  <c r="P36" i="3" s="1"/>
  <c r="P35" i="3"/>
  <c r="N35" i="3"/>
  <c r="N34" i="3" s="1"/>
  <c r="M35" i="3"/>
  <c r="L35" i="3"/>
  <c r="O35" i="3" s="1"/>
  <c r="M34" i="3"/>
  <c r="P34" i="3" s="1"/>
  <c r="P33" i="3"/>
  <c r="N33" i="3"/>
  <c r="M33" i="3"/>
  <c r="O32" i="3"/>
  <c r="N32" i="3"/>
  <c r="M32" i="3"/>
  <c r="L32" i="3"/>
  <c r="M30" i="3"/>
  <c r="P30" i="3" s="1"/>
  <c r="N29" i="3"/>
  <c r="L29" i="3"/>
  <c r="O29" i="3" s="1"/>
  <c r="O25" i="3"/>
  <c r="N25" i="3"/>
  <c r="M25" i="3"/>
  <c r="L25" i="3"/>
  <c r="P22" i="3"/>
  <c r="N22" i="3"/>
  <c r="M22" i="3"/>
  <c r="L22" i="3"/>
  <c r="O22" i="3" s="1"/>
  <c r="M19" i="3"/>
  <c r="N15" i="3"/>
  <c r="L15" i="3"/>
  <c r="O15" i="3" s="1"/>
  <c r="M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N805" i="2" s="1"/>
  <c r="M806" i="2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P791" i="2"/>
  <c r="N791" i="2"/>
  <c r="L791" i="2"/>
  <c r="L788" i="2" s="1"/>
  <c r="P790" i="2"/>
  <c r="O790" i="2"/>
  <c r="P789" i="2"/>
  <c r="N789" i="2"/>
  <c r="M789" i="2"/>
  <c r="L789" i="2"/>
  <c r="O789" i="2" s="1"/>
  <c r="M788" i="2"/>
  <c r="P788" i="2" s="1"/>
  <c r="P787" i="2"/>
  <c r="N787" i="2"/>
  <c r="M787" i="2"/>
  <c r="L787" i="2"/>
  <c r="O787" i="2" s="1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P774" i="2"/>
  <c r="O774" i="2"/>
  <c r="O773" i="2"/>
  <c r="M773" i="2"/>
  <c r="P773" i="2" s="1"/>
  <c r="L773" i="2"/>
  <c r="P772" i="2"/>
  <c r="M772" i="2"/>
  <c r="L772" i="2"/>
  <c r="O771" i="2"/>
  <c r="N771" i="2"/>
  <c r="M771" i="2"/>
  <c r="P771" i="2" s="1"/>
  <c r="L771" i="2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P758" i="2"/>
  <c r="O758" i="2"/>
  <c r="O757" i="2"/>
  <c r="M757" i="2"/>
  <c r="P757" i="2" s="1"/>
  <c r="L757" i="2"/>
  <c r="P756" i="2"/>
  <c r="M756" i="2"/>
  <c r="L756" i="2"/>
  <c r="O755" i="2"/>
  <c r="N755" i="2"/>
  <c r="M755" i="2"/>
  <c r="P755" i="2" s="1"/>
  <c r="L755" i="2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P741" i="2"/>
  <c r="O741" i="2"/>
  <c r="M740" i="2"/>
  <c r="P740" i="2" s="1"/>
  <c r="L740" i="2"/>
  <c r="O740" i="2" s="1"/>
  <c r="P739" i="2"/>
  <c r="M739" i="2"/>
  <c r="L739" i="2"/>
  <c r="P738" i="2"/>
  <c r="O738" i="2"/>
  <c r="N738" i="2"/>
  <c r="M738" i="2"/>
  <c r="L738" i="2"/>
  <c r="P737" i="2"/>
  <c r="M737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P690" i="2"/>
  <c r="N690" i="2"/>
  <c r="L690" i="2"/>
  <c r="L688" i="2" s="1"/>
  <c r="P688" i="2"/>
  <c r="M688" i="2"/>
  <c r="P687" i="2"/>
  <c r="M687" i="2"/>
  <c r="P686" i="2"/>
  <c r="O686" i="2"/>
  <c r="N686" i="2"/>
  <c r="M686" i="2"/>
  <c r="M685" i="2" s="1"/>
  <c r="P685" i="2" s="1"/>
  <c r="L686" i="2"/>
  <c r="J679" i="2"/>
  <c r="J678" i="2"/>
  <c r="I678" i="2"/>
  <c r="K678" i="2" s="1"/>
  <c r="J675" i="2"/>
  <c r="I671" i="2"/>
  <c r="K671" i="2" s="1"/>
  <c r="I670" i="2"/>
  <c r="K670" i="2" s="1"/>
  <c r="J669" i="2"/>
  <c r="J654" i="2" s="1"/>
  <c r="I669" i="2"/>
  <c r="P667" i="2"/>
  <c r="O667" i="2"/>
  <c r="P666" i="2"/>
  <c r="O666" i="2"/>
  <c r="P665" i="2"/>
  <c r="O665" i="2"/>
  <c r="N665" i="2"/>
  <c r="M665" i="2"/>
  <c r="L665" i="2"/>
  <c r="P660" i="2"/>
  <c r="N660" i="2"/>
  <c r="L660" i="2"/>
  <c r="L657" i="2" s="1"/>
  <c r="P659" i="2"/>
  <c r="O659" i="2"/>
  <c r="N658" i="2"/>
  <c r="M658" i="2"/>
  <c r="P658" i="2" s="1"/>
  <c r="N657" i="2"/>
  <c r="N655" i="2" s="1"/>
  <c r="M657" i="2"/>
  <c r="P657" i="2" s="1"/>
  <c r="N656" i="2"/>
  <c r="M656" i="2"/>
  <c r="L656" i="2"/>
  <c r="O656" i="2" s="1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 s="1"/>
  <c r="P634" i="2"/>
  <c r="L634" i="2"/>
  <c r="P633" i="2"/>
  <c r="O633" i="2"/>
  <c r="P632" i="2"/>
  <c r="M632" i="2"/>
  <c r="P631" i="2"/>
  <c r="M631" i="2"/>
  <c r="P630" i="2"/>
  <c r="O630" i="2"/>
  <c r="N630" i="2"/>
  <c r="M630" i="2"/>
  <c r="L630" i="2"/>
  <c r="M629" i="2"/>
  <c r="P629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4" i="2"/>
  <c r="I594" i="2"/>
  <c r="K594" i="2" s="1"/>
  <c r="J593" i="2"/>
  <c r="I593" i="2"/>
  <c r="I592" i="2" s="1"/>
  <c r="J592" i="2"/>
  <c r="J583" i="2"/>
  <c r="J577" i="2" s="1"/>
  <c r="J582" i="2"/>
  <c r="I577" i="2"/>
  <c r="K577" i="2" s="1"/>
  <c r="J576" i="2"/>
  <c r="I576" i="2"/>
  <c r="K576" i="2" s="1"/>
  <c r="J569" i="2"/>
  <c r="I569" i="2"/>
  <c r="K569" i="2" s="1"/>
  <c r="J568" i="2"/>
  <c r="I568" i="2"/>
  <c r="J561" i="2"/>
  <c r="I561" i="2"/>
  <c r="K561" i="2" s="1"/>
  <c r="J560" i="2"/>
  <c r="I560" i="2"/>
  <c r="K560" i="2" s="1"/>
  <c r="J559" i="2"/>
  <c r="P557" i="2"/>
  <c r="L557" i="2"/>
  <c r="O557" i="2" s="1"/>
  <c r="P556" i="2"/>
  <c r="O556" i="2"/>
  <c r="P555" i="2"/>
  <c r="N555" i="2"/>
  <c r="M555" i="2"/>
  <c r="N553" i="2"/>
  <c r="P549" i="2"/>
  <c r="N549" i="2"/>
  <c r="N546" i="2" s="1"/>
  <c r="L549" i="2"/>
  <c r="L547" i="2" s="1"/>
  <c r="O547" i="2" s="1"/>
  <c r="P548" i="2"/>
  <c r="O548" i="2"/>
  <c r="P547" i="2"/>
  <c r="N547" i="2"/>
  <c r="M547" i="2"/>
  <c r="M546" i="2"/>
  <c r="P546" i="2" s="1"/>
  <c r="P545" i="2"/>
  <c r="N545" i="2"/>
  <c r="N544" i="2" s="1"/>
  <c r="M545" i="2"/>
  <c r="L545" i="2"/>
  <c r="M544" i="2"/>
  <c r="P544" i="2" s="1"/>
  <c r="J543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K537" i="2" s="1"/>
  <c r="P535" i="2"/>
  <c r="L535" i="2"/>
  <c r="O535" i="2" s="1"/>
  <c r="P534" i="2"/>
  <c r="O534" i="2"/>
  <c r="N533" i="2"/>
  <c r="M533" i="2"/>
  <c r="P533" i="2" s="1"/>
  <c r="P528" i="2"/>
  <c r="N528" i="2"/>
  <c r="N525" i="2" s="1"/>
  <c r="N523" i="2" s="1"/>
  <c r="L528" i="2"/>
  <c r="O528" i="2" s="1"/>
  <c r="P527" i="2"/>
  <c r="O527" i="2"/>
  <c r="P526" i="2"/>
  <c r="N526" i="2"/>
  <c r="M526" i="2"/>
  <c r="M525" i="2"/>
  <c r="P524" i="2"/>
  <c r="N524" i="2"/>
  <c r="M524" i="2"/>
  <c r="L524" i="2"/>
  <c r="K517" i="2"/>
  <c r="J517" i="2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N505" i="2" s="1"/>
  <c r="P506" i="2"/>
  <c r="O506" i="2"/>
  <c r="M505" i="2"/>
  <c r="P505" i="2" s="1"/>
  <c r="L505" i="2"/>
  <c r="O505" i="2" s="1"/>
  <c r="N504" i="2"/>
  <c r="M504" i="2"/>
  <c r="P504" i="2" s="1"/>
  <c r="L504" i="2"/>
  <c r="O504" i="2" s="1"/>
  <c r="P503" i="2"/>
  <c r="O503" i="2"/>
  <c r="N503" i="2"/>
  <c r="M503" i="2"/>
  <c r="L503" i="2"/>
  <c r="P502" i="2"/>
  <c r="O502" i="2"/>
  <c r="N502" i="2"/>
  <c r="M502" i="2"/>
  <c r="L502" i="2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P472" i="2"/>
  <c r="N472" i="2"/>
  <c r="N469" i="2" s="1"/>
  <c r="L472" i="2"/>
  <c r="O472" i="2" s="1"/>
  <c r="P471" i="2"/>
  <c r="O471" i="2"/>
  <c r="P470" i="2"/>
  <c r="N470" i="2"/>
  <c r="M470" i="2"/>
  <c r="M469" i="2"/>
  <c r="P469" i="2" s="1"/>
  <c r="P468" i="2"/>
  <c r="N468" i="2"/>
  <c r="N467" i="2" s="1"/>
  <c r="M468" i="2"/>
  <c r="L468" i="2"/>
  <c r="O468" i="2" s="1"/>
  <c r="M467" i="2"/>
  <c r="P467" i="2" s="1"/>
  <c r="J466" i="2"/>
  <c r="I466" i="2"/>
  <c r="K466" i="2" s="1"/>
  <c r="J465" i="2"/>
  <c r="I465" i="2"/>
  <c r="K465" i="2" s="1"/>
  <c r="I464" i="2"/>
  <c r="I463" i="2"/>
  <c r="I462" i="2"/>
  <c r="I460" i="2"/>
  <c r="I442" i="2" s="1"/>
  <c r="K442" i="2" s="1"/>
  <c r="K458" i="2"/>
  <c r="P456" i="2"/>
  <c r="L456" i="2"/>
  <c r="O456" i="2" s="1"/>
  <c r="P455" i="2"/>
  <c r="O455" i="2"/>
  <c r="P454" i="2"/>
  <c r="N454" i="2"/>
  <c r="M454" i="2"/>
  <c r="P449" i="2"/>
  <c r="N449" i="2"/>
  <c r="N446" i="2" s="1"/>
  <c r="N444" i="2" s="1"/>
  <c r="L449" i="2"/>
  <c r="P448" i="2"/>
  <c r="O448" i="2"/>
  <c r="N447" i="2"/>
  <c r="M447" i="2"/>
  <c r="P447" i="2" s="1"/>
  <c r="P446" i="2"/>
  <c r="M446" i="2"/>
  <c r="N445" i="2"/>
  <c r="M445" i="2"/>
  <c r="P445" i="2" s="1"/>
  <c r="L445" i="2"/>
  <c r="O445" i="2" s="1"/>
  <c r="P444" i="2"/>
  <c r="M444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K435" i="2" s="1"/>
  <c r="J434" i="2"/>
  <c r="P431" i="2"/>
  <c r="L431" i="2"/>
  <c r="O431" i="2" s="1"/>
  <c r="P430" i="2"/>
  <c r="O430" i="2"/>
  <c r="N429" i="2"/>
  <c r="M429" i="2"/>
  <c r="P429" i="2" s="1"/>
  <c r="P424" i="2"/>
  <c r="N424" i="2"/>
  <c r="N421" i="2" s="1"/>
  <c r="N419" i="2" s="1"/>
  <c r="L424" i="2"/>
  <c r="P423" i="2"/>
  <c r="O423" i="2"/>
  <c r="N422" i="2"/>
  <c r="M422" i="2"/>
  <c r="P422" i="2" s="1"/>
  <c r="M421" i="2"/>
  <c r="P421" i="2" s="1"/>
  <c r="P420" i="2"/>
  <c r="N420" i="2"/>
  <c r="M420" i="2"/>
  <c r="L420" i="2"/>
  <c r="O420" i="2" s="1"/>
  <c r="J418" i="2"/>
  <c r="K413" i="2"/>
  <c r="K412" i="2"/>
  <c r="N410" i="2"/>
  <c r="N408" i="2" s="1"/>
  <c r="M410" i="2"/>
  <c r="P410" i="2" s="1"/>
  <c r="L410" i="2"/>
  <c r="O410" i="2" s="1"/>
  <c r="P409" i="2"/>
  <c r="O409" i="2"/>
  <c r="N407" i="2"/>
  <c r="N405" i="2" s="1"/>
  <c r="M407" i="2"/>
  <c r="L407" i="2"/>
  <c r="P406" i="2"/>
  <c r="O406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P397" i="2" s="1"/>
  <c r="L397" i="2"/>
  <c r="P396" i="2"/>
  <c r="O396" i="2"/>
  <c r="N394" i="2"/>
  <c r="N392" i="2" s="1"/>
  <c r="M394" i="2"/>
  <c r="P394" i="2" s="1"/>
  <c r="L394" i="2"/>
  <c r="P393" i="2"/>
  <c r="O393" i="2"/>
  <c r="N390" i="2"/>
  <c r="M390" i="2"/>
  <c r="P390" i="2" s="1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N348" i="2" s="1"/>
  <c r="M350" i="2"/>
  <c r="L350" i="2"/>
  <c r="P349" i="2"/>
  <c r="O349" i="2"/>
  <c r="N346" i="2"/>
  <c r="M346" i="2"/>
  <c r="P346" i="2" s="1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P335" i="2"/>
  <c r="O335" i="2"/>
  <c r="N333" i="2"/>
  <c r="M333" i="2"/>
  <c r="M331" i="2" s="1"/>
  <c r="L333" i="2"/>
  <c r="P332" i="2"/>
  <c r="O332" i="2"/>
  <c r="N329" i="2"/>
  <c r="M329" i="2"/>
  <c r="P329" i="2" s="1"/>
  <c r="L329" i="2"/>
  <c r="O329" i="2" s="1"/>
  <c r="I327" i="2"/>
  <c r="I325" i="2"/>
  <c r="K325" i="2" s="1"/>
  <c r="N323" i="2"/>
  <c r="N321" i="2" s="1"/>
  <c r="M323" i="2"/>
  <c r="P323" i="2" s="1"/>
  <c r="L323" i="2"/>
  <c r="L321" i="2" s="1"/>
  <c r="O321" i="2" s="1"/>
  <c r="P322" i="2"/>
  <c r="O322" i="2"/>
  <c r="N320" i="2"/>
  <c r="N318" i="2" s="1"/>
  <c r="M320" i="2"/>
  <c r="M318" i="2" s="1"/>
  <c r="L320" i="2"/>
  <c r="L318" i="2" s="1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O306" i="2" s="1"/>
  <c r="P305" i="2"/>
  <c r="O305" i="2"/>
  <c r="N303" i="2"/>
  <c r="M303" i="2"/>
  <c r="M301" i="2" s="1"/>
  <c r="L303" i="2"/>
  <c r="P302" i="2"/>
  <c r="O302" i="2"/>
  <c r="O299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P285" i="2" s="1"/>
  <c r="L285" i="2"/>
  <c r="O285" i="2" s="1"/>
  <c r="P284" i="2"/>
  <c r="O284" i="2"/>
  <c r="N282" i="2"/>
  <c r="N280" i="2" s="1"/>
  <c r="M282" i="2"/>
  <c r="M280" i="2" s="1"/>
  <c r="L282" i="2"/>
  <c r="P281" i="2"/>
  <c r="O281" i="2"/>
  <c r="P278" i="2"/>
  <c r="O278" i="2"/>
  <c r="N278" i="2"/>
  <c r="M278" i="2"/>
  <c r="L278" i="2"/>
  <c r="J276" i="2"/>
  <c r="I271" i="2"/>
  <c r="K271" i="2" s="1"/>
  <c r="N269" i="2"/>
  <c r="N267" i="2" s="1"/>
  <c r="M269" i="2"/>
  <c r="L269" i="2"/>
  <c r="O269" i="2" s="1"/>
  <c r="P268" i="2"/>
  <c r="O268" i="2"/>
  <c r="N266" i="2"/>
  <c r="N264" i="2" s="1"/>
  <c r="M266" i="2"/>
  <c r="L266" i="2"/>
  <c r="P265" i="2"/>
  <c r="O265" i="2"/>
  <c r="O262" i="2"/>
  <c r="N262" i="2"/>
  <c r="M262" i="2"/>
  <c r="P262" i="2" s="1"/>
  <c r="L262" i="2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K236" i="2"/>
  <c r="J236" i="2"/>
  <c r="I236" i="2"/>
  <c r="J235" i="2"/>
  <c r="I235" i="2"/>
  <c r="K235" i="2" s="1"/>
  <c r="J233" i="2"/>
  <c r="N231" i="2"/>
  <c r="N230" i="2"/>
  <c r="N229" i="2"/>
  <c r="N228" i="2"/>
  <c r="N227" i="2"/>
  <c r="J226" i="2"/>
  <c r="I225" i="2"/>
  <c r="K225" i="2" s="1"/>
  <c r="I224" i="2"/>
  <c r="I216" i="2" s="1"/>
  <c r="K216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I190" i="2" s="1"/>
  <c r="K190" i="2" s="1"/>
  <c r="P191" i="2"/>
  <c r="L191" i="2"/>
  <c r="O191" i="2" s="1"/>
  <c r="J190" i="2"/>
  <c r="N189" i="2"/>
  <c r="N187" i="2" s="1"/>
  <c r="M189" i="2"/>
  <c r="L189" i="2"/>
  <c r="O189" i="2" s="1"/>
  <c r="P188" i="2"/>
  <c r="O188" i="2"/>
  <c r="N186" i="2"/>
  <c r="M186" i="2"/>
  <c r="L186" i="2"/>
  <c r="L184" i="2" s="1"/>
  <c r="P185" i="2"/>
  <c r="O185" i="2"/>
  <c r="N182" i="2"/>
  <c r="M182" i="2"/>
  <c r="L182" i="2"/>
  <c r="O182" i="2" s="1"/>
  <c r="J180" i="2"/>
  <c r="J177" i="2"/>
  <c r="I176" i="2"/>
  <c r="J174" i="2"/>
  <c r="N173" i="2"/>
  <c r="M173" i="2"/>
  <c r="L173" i="2"/>
  <c r="L171" i="2" s="1"/>
  <c r="O171" i="2" s="1"/>
  <c r="P172" i="2"/>
  <c r="O172" i="2"/>
  <c r="N170" i="2"/>
  <c r="N168" i="2" s="1"/>
  <c r="M170" i="2"/>
  <c r="L170" i="2"/>
  <c r="L168" i="2" s="1"/>
  <c r="P169" i="2"/>
  <c r="O169" i="2"/>
  <c r="N166" i="2"/>
  <c r="M166" i="2"/>
  <c r="L166" i="2"/>
  <c r="O166" i="2" s="1"/>
  <c r="J164" i="2"/>
  <c r="I159" i="2"/>
  <c r="K159" i="2" s="1"/>
  <c r="N157" i="2"/>
  <c r="N155" i="2" s="1"/>
  <c r="M157" i="2"/>
  <c r="P157" i="2" s="1"/>
  <c r="L157" i="2"/>
  <c r="P156" i="2"/>
  <c r="O156" i="2"/>
  <c r="N154" i="2"/>
  <c r="N152" i="2" s="1"/>
  <c r="M154" i="2"/>
  <c r="M152" i="2" s="1"/>
  <c r="P152" i="2" s="1"/>
  <c r="L154" i="2"/>
  <c r="O154" i="2" s="1"/>
  <c r="P153" i="2"/>
  <c r="O153" i="2"/>
  <c r="O150" i="2"/>
  <c r="N150" i="2"/>
  <c r="M150" i="2"/>
  <c r="P150" i="2" s="1"/>
  <c r="L150" i="2"/>
  <c r="J148" i="2"/>
  <c r="I146" i="2"/>
  <c r="I130" i="2" s="1"/>
  <c r="K130" i="2" s="1"/>
  <c r="I145" i="2"/>
  <c r="I144" i="2"/>
  <c r="K144" i="2" s="1"/>
  <c r="N140" i="2"/>
  <c r="N138" i="2" s="1"/>
  <c r="M140" i="2"/>
  <c r="P140" i="2" s="1"/>
  <c r="L140" i="2"/>
  <c r="P139" i="2"/>
  <c r="O139" i="2"/>
  <c r="N137" i="2"/>
  <c r="N135" i="2" s="1"/>
  <c r="M137" i="2"/>
  <c r="L137" i="2"/>
  <c r="P136" i="2"/>
  <c r="O136" i="2"/>
  <c r="P133" i="2"/>
  <c r="N133" i="2"/>
  <c r="M133" i="2"/>
  <c r="L133" i="2"/>
  <c r="J130" i="2"/>
  <c r="N127" i="2"/>
  <c r="N125" i="2" s="1"/>
  <c r="M127" i="2"/>
  <c r="P127" i="2" s="1"/>
  <c r="L127" i="2"/>
  <c r="O127" i="2" s="1"/>
  <c r="P126" i="2"/>
  <c r="O126" i="2"/>
  <c r="N124" i="2"/>
  <c r="M124" i="2"/>
  <c r="P124" i="2" s="1"/>
  <c r="L124" i="2"/>
  <c r="P123" i="2"/>
  <c r="O123" i="2"/>
  <c r="O120" i="2"/>
  <c r="N120" i="2"/>
  <c r="M120" i="2"/>
  <c r="P120" i="2" s="1"/>
  <c r="L120" i="2"/>
  <c r="K118" i="2"/>
  <c r="J118" i="2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J87" i="2" s="1"/>
  <c r="I99" i="2"/>
  <c r="I87" i="2" s="1"/>
  <c r="J98" i="2"/>
  <c r="I98" i="2"/>
  <c r="I86" i="2" s="1"/>
  <c r="N96" i="2"/>
  <c r="N94" i="2" s="1"/>
  <c r="M96" i="2"/>
  <c r="P96" i="2" s="1"/>
  <c r="L96" i="2"/>
  <c r="O96" i="2" s="1"/>
  <c r="P95" i="2"/>
  <c r="O95" i="2"/>
  <c r="N93" i="2"/>
  <c r="N91" i="2" s="1"/>
  <c r="M93" i="2"/>
  <c r="L93" i="2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I79" i="2"/>
  <c r="I78" i="2"/>
  <c r="K78" i="2" s="1"/>
  <c r="J77" i="2"/>
  <c r="J65" i="2" s="1"/>
  <c r="J76" i="2"/>
  <c r="N74" i="2"/>
  <c r="N72" i="2" s="1"/>
  <c r="M74" i="2"/>
  <c r="L74" i="2"/>
  <c r="L72" i="2" s="1"/>
  <c r="O72" i="2" s="1"/>
  <c r="P73" i="2"/>
  <c r="O73" i="2"/>
  <c r="N71" i="2"/>
  <c r="M71" i="2"/>
  <c r="P71" i="2" s="1"/>
  <c r="L71" i="2"/>
  <c r="L69" i="2" s="1"/>
  <c r="O69" i="2" s="1"/>
  <c r="P70" i="2"/>
  <c r="O70" i="2"/>
  <c r="N67" i="2"/>
  <c r="M67" i="2"/>
  <c r="P67" i="2" s="1"/>
  <c r="L67" i="2"/>
  <c r="O67" i="2" s="1"/>
  <c r="J64" i="2"/>
  <c r="N61" i="2"/>
  <c r="N59" i="2" s="1"/>
  <c r="M61" i="2"/>
  <c r="P61" i="2" s="1"/>
  <c r="L61" i="2"/>
  <c r="P60" i="2"/>
  <c r="O60" i="2"/>
  <c r="N58" i="2"/>
  <c r="N56" i="2" s="1"/>
  <c r="M58" i="2"/>
  <c r="L58" i="2"/>
  <c r="P57" i="2"/>
  <c r="O57" i="2"/>
  <c r="P54" i="2"/>
  <c r="N54" i="2"/>
  <c r="M54" i="2"/>
  <c r="L54" i="2"/>
  <c r="O54" i="2" s="1"/>
  <c r="N49" i="2"/>
  <c r="N47" i="2" s="1"/>
  <c r="M49" i="2"/>
  <c r="P49" i="2" s="1"/>
  <c r="L49" i="2"/>
  <c r="O49" i="2" s="1"/>
  <c r="P48" i="2"/>
  <c r="O48" i="2"/>
  <c r="N46" i="2"/>
  <c r="M46" i="2"/>
  <c r="L46" i="2"/>
  <c r="L44" i="2" s="1"/>
  <c r="P45" i="2"/>
  <c r="O45" i="2"/>
  <c r="N42" i="2"/>
  <c r="M42" i="2"/>
  <c r="P42" i="2" s="1"/>
  <c r="L42" i="2"/>
  <c r="O42" i="2" s="1"/>
  <c r="P36" i="2"/>
  <c r="N36" i="2"/>
  <c r="M36" i="2"/>
  <c r="P35" i="2"/>
  <c r="O35" i="2"/>
  <c r="N35" i="2"/>
  <c r="M35" i="2"/>
  <c r="L35" i="2"/>
  <c r="N34" i="2"/>
  <c r="M34" i="2"/>
  <c r="P34" i="2" s="1"/>
  <c r="N33" i="2"/>
  <c r="M33" i="2"/>
  <c r="N32" i="2"/>
  <c r="M32" i="2"/>
  <c r="L32" i="2"/>
  <c r="N29" i="2"/>
  <c r="N25" i="2"/>
  <c r="M25" i="2"/>
  <c r="L25" i="2"/>
  <c r="P22" i="2"/>
  <c r="O22" i="2"/>
  <c r="N22" i="2"/>
  <c r="M22" i="2"/>
  <c r="L22" i="2"/>
  <c r="N19" i="2"/>
  <c r="M19" i="2"/>
  <c r="L19" i="2"/>
  <c r="O19" i="2" s="1"/>
  <c r="N15" i="2"/>
  <c r="N12" i="2"/>
  <c r="M12" i="2"/>
  <c r="L12" i="2"/>
  <c r="N9" i="2"/>
  <c r="L658" i="18" l="1"/>
  <c r="I275" i="13"/>
  <c r="K275" i="13" s="1"/>
  <c r="L639" i="16"/>
  <c r="O639" i="16" s="1"/>
  <c r="L19" i="15"/>
  <c r="O19" i="15" s="1"/>
  <c r="M19" i="15"/>
  <c r="P19" i="15" s="1"/>
  <c r="L555" i="13"/>
  <c r="O555" i="13" s="1"/>
  <c r="K826" i="18"/>
  <c r="I130" i="7"/>
  <c r="K130" i="7" s="1"/>
  <c r="L533" i="9"/>
  <c r="O533" i="9" s="1"/>
  <c r="L533" i="11"/>
  <c r="O533" i="11" s="1"/>
  <c r="L422" i="15"/>
  <c r="O422" i="15" s="1"/>
  <c r="M68" i="18"/>
  <c r="M66" i="18" s="1"/>
  <c r="L555" i="2"/>
  <c r="O555" i="2" s="1"/>
  <c r="L639" i="10"/>
  <c r="O639" i="10" s="1"/>
  <c r="L639" i="8"/>
  <c r="O639" i="8" s="1"/>
  <c r="L526" i="2"/>
  <c r="O526" i="2" s="1"/>
  <c r="L454" i="16"/>
  <c r="O454" i="16" s="1"/>
  <c r="L454" i="10"/>
  <c r="O454" i="10" s="1"/>
  <c r="L72" i="18"/>
  <c r="O72" i="18" s="1"/>
  <c r="I433" i="16"/>
  <c r="I417" i="16" s="1"/>
  <c r="L43" i="17"/>
  <c r="L41" i="17" s="1"/>
  <c r="L90" i="18"/>
  <c r="L88" i="18" s="1"/>
  <c r="L422" i="18"/>
  <c r="O422" i="18" s="1"/>
  <c r="L477" i="9"/>
  <c r="O477" i="9" s="1"/>
  <c r="L183" i="18"/>
  <c r="L181" i="18" s="1"/>
  <c r="L347" i="17"/>
  <c r="L345" i="17" s="1"/>
  <c r="M395" i="18"/>
  <c r="P395" i="18" s="1"/>
  <c r="K669" i="18"/>
  <c r="N68" i="17"/>
  <c r="N66" i="17" s="1"/>
  <c r="I297" i="17"/>
  <c r="K297" i="17" s="1"/>
  <c r="I130" i="12"/>
  <c r="K130" i="12" s="1"/>
  <c r="K725" i="18"/>
  <c r="L229" i="18"/>
  <c r="I130" i="4"/>
  <c r="K130" i="4" s="1"/>
  <c r="M122" i="17"/>
  <c r="P122" i="17" s="1"/>
  <c r="M72" i="18"/>
  <c r="P72" i="18" s="1"/>
  <c r="I442" i="18"/>
  <c r="K442" i="18" s="1"/>
  <c r="N90" i="18"/>
  <c r="N88" i="18" s="1"/>
  <c r="N167" i="18"/>
  <c r="N165" i="18" s="1"/>
  <c r="M347" i="18"/>
  <c r="M345" i="18" s="1"/>
  <c r="L125" i="17"/>
  <c r="O125" i="17" s="1"/>
  <c r="N43" i="18"/>
  <c r="N41" i="18" s="1"/>
  <c r="N300" i="18"/>
  <c r="N298" i="18" s="1"/>
  <c r="K340" i="18"/>
  <c r="L347" i="18"/>
  <c r="L345" i="18" s="1"/>
  <c r="M404" i="18"/>
  <c r="P404" i="18" s="1"/>
  <c r="K700" i="18"/>
  <c r="P44" i="18"/>
  <c r="N91" i="18"/>
  <c r="L121" i="18"/>
  <c r="O121" i="18" s="1"/>
  <c r="L300" i="18"/>
  <c r="L298" i="18" s="1"/>
  <c r="N279" i="15"/>
  <c r="N277" i="15" s="1"/>
  <c r="K720" i="18"/>
  <c r="K827" i="18"/>
  <c r="J722" i="17"/>
  <c r="M90" i="18"/>
  <c r="P90" i="18" s="1"/>
  <c r="L279" i="18"/>
  <c r="L277" i="18" s="1"/>
  <c r="K651" i="18"/>
  <c r="M125" i="17"/>
  <c r="P125" i="17" s="1"/>
  <c r="K385" i="18"/>
  <c r="I433" i="18"/>
  <c r="I417" i="18" s="1"/>
  <c r="L68" i="17"/>
  <c r="O68" i="17" s="1"/>
  <c r="P93" i="18"/>
  <c r="I434" i="18"/>
  <c r="I559" i="18"/>
  <c r="I543" i="18" s="1"/>
  <c r="K543" i="18" s="1"/>
  <c r="P135" i="18"/>
  <c r="I190" i="18"/>
  <c r="K190" i="18" s="1"/>
  <c r="K822" i="18"/>
  <c r="I364" i="18"/>
  <c r="K255" i="17"/>
  <c r="K568" i="17"/>
  <c r="M121" i="18"/>
  <c r="P121" i="18" s="1"/>
  <c r="I148" i="18"/>
  <c r="K148" i="18" s="1"/>
  <c r="K378" i="18"/>
  <c r="I654" i="18"/>
  <c r="K654" i="18" s="1"/>
  <c r="K340" i="15"/>
  <c r="M68" i="17"/>
  <c r="P68" i="17" s="1"/>
  <c r="N279" i="17"/>
  <c r="N277" i="17" s="1"/>
  <c r="L47" i="18"/>
  <c r="O47" i="18" s="1"/>
  <c r="N121" i="18"/>
  <c r="N119" i="18" s="1"/>
  <c r="O170" i="18"/>
  <c r="L231" i="18"/>
  <c r="I87" i="15"/>
  <c r="K87" i="15" s="1"/>
  <c r="L526" i="17"/>
  <c r="O526" i="17" s="1"/>
  <c r="N47" i="18"/>
  <c r="M23" i="18"/>
  <c r="M13" i="18" s="1"/>
  <c r="M11" i="18" s="1"/>
  <c r="I443" i="18"/>
  <c r="K443" i="18" s="1"/>
  <c r="L429" i="8"/>
  <c r="O429" i="8" s="1"/>
  <c r="P266" i="16"/>
  <c r="I208" i="18"/>
  <c r="K208" i="18" s="1"/>
  <c r="L217" i="18"/>
  <c r="O217" i="18" s="1"/>
  <c r="K822" i="17"/>
  <c r="L43" i="18"/>
  <c r="L41" i="18" s="1"/>
  <c r="M91" i="18"/>
  <c r="L134" i="18"/>
  <c r="L132" i="18" s="1"/>
  <c r="N168" i="18"/>
  <c r="P168" i="18" s="1"/>
  <c r="P170" i="18"/>
  <c r="L283" i="18"/>
  <c r="O283" i="18" s="1"/>
  <c r="I297" i="18"/>
  <c r="K297" i="18" s="1"/>
  <c r="L632" i="18"/>
  <c r="O632" i="18" s="1"/>
  <c r="N151" i="17"/>
  <c r="N149" i="17" s="1"/>
  <c r="L33" i="18"/>
  <c r="L31" i="18" s="1"/>
  <c r="O31" i="18" s="1"/>
  <c r="N55" i="18"/>
  <c r="N53" i="18" s="1"/>
  <c r="O69" i="18"/>
  <c r="N151" i="18"/>
  <c r="N149" i="18" s="1"/>
  <c r="N183" i="18"/>
  <c r="N181" i="18" s="1"/>
  <c r="N263" i="18"/>
  <c r="N261" i="18" s="1"/>
  <c r="K271" i="18"/>
  <c r="M300" i="18"/>
  <c r="M405" i="18"/>
  <c r="P405" i="18" s="1"/>
  <c r="K594" i="18"/>
  <c r="J721" i="18"/>
  <c r="K721" i="18" s="1"/>
  <c r="I297" i="16"/>
  <c r="K297" i="16" s="1"/>
  <c r="M330" i="16"/>
  <c r="M328" i="16" s="1"/>
  <c r="I77" i="17"/>
  <c r="K77" i="17" s="1"/>
  <c r="M135" i="17"/>
  <c r="P135" i="17" s="1"/>
  <c r="M138" i="17"/>
  <c r="P138" i="17" s="1"/>
  <c r="L68" i="18"/>
  <c r="L135" i="18"/>
  <c r="O135" i="18" s="1"/>
  <c r="M155" i="18"/>
  <c r="P155" i="18" s="1"/>
  <c r="I276" i="18"/>
  <c r="K276" i="18" s="1"/>
  <c r="L301" i="18"/>
  <c r="O353" i="18"/>
  <c r="M408" i="18"/>
  <c r="P408" i="18" s="1"/>
  <c r="O690" i="18"/>
  <c r="K699" i="18"/>
  <c r="M69" i="17"/>
  <c r="P69" i="17" s="1"/>
  <c r="M72" i="17"/>
  <c r="P72" i="17" s="1"/>
  <c r="L94" i="17"/>
  <c r="O94" i="17" s="1"/>
  <c r="L121" i="17"/>
  <c r="O121" i="17" s="1"/>
  <c r="I143" i="17"/>
  <c r="K143" i="17" s="1"/>
  <c r="I87" i="18"/>
  <c r="K87" i="18" s="1"/>
  <c r="O137" i="18"/>
  <c r="P140" i="18"/>
  <c r="L167" i="18"/>
  <c r="I216" i="18"/>
  <c r="K216" i="18" s="1"/>
  <c r="J288" i="18"/>
  <c r="J275" i="18" s="1"/>
  <c r="K275" i="18" s="1"/>
  <c r="M330" i="18"/>
  <c r="M328" i="18" s="1"/>
  <c r="O333" i="18"/>
  <c r="O336" i="18"/>
  <c r="J327" i="18"/>
  <c r="K327" i="18" s="1"/>
  <c r="K369" i="18"/>
  <c r="K824" i="18"/>
  <c r="I237" i="17"/>
  <c r="K237" i="17" s="1"/>
  <c r="N68" i="18"/>
  <c r="N134" i="18"/>
  <c r="N132" i="18" s="1"/>
  <c r="O266" i="18"/>
  <c r="P348" i="18"/>
  <c r="K360" i="18"/>
  <c r="O71" i="18"/>
  <c r="O186" i="18"/>
  <c r="P282" i="18"/>
  <c r="L525" i="18"/>
  <c r="O525" i="18" s="1"/>
  <c r="L526" i="7"/>
  <c r="O526" i="7" s="1"/>
  <c r="N151" i="16"/>
  <c r="N149" i="16" s="1"/>
  <c r="L122" i="17"/>
  <c r="O122" i="17" s="1"/>
  <c r="P46" i="18"/>
  <c r="M69" i="18"/>
  <c r="P69" i="18" s="1"/>
  <c r="L91" i="18"/>
  <c r="N138" i="18"/>
  <c r="O138" i="18" s="1"/>
  <c r="N155" i="18"/>
  <c r="M171" i="18"/>
  <c r="P171" i="18" s="1"/>
  <c r="L184" i="18"/>
  <c r="O184" i="18" s="1"/>
  <c r="O282" i="18"/>
  <c r="K338" i="18"/>
  <c r="P353" i="18"/>
  <c r="K359" i="18"/>
  <c r="K362" i="18"/>
  <c r="K379" i="18"/>
  <c r="K649" i="18"/>
  <c r="K821" i="18"/>
  <c r="M183" i="18"/>
  <c r="M181" i="18" s="1"/>
  <c r="L446" i="17"/>
  <c r="O446" i="17" s="1"/>
  <c r="P71" i="18"/>
  <c r="P137" i="18"/>
  <c r="M187" i="18"/>
  <c r="P187" i="18" s="1"/>
  <c r="L317" i="18"/>
  <c r="L315" i="18" s="1"/>
  <c r="O320" i="18"/>
  <c r="L348" i="18"/>
  <c r="O348" i="18" s="1"/>
  <c r="P407" i="18"/>
  <c r="N330" i="17"/>
  <c r="N328" i="17" s="1"/>
  <c r="M26" i="18"/>
  <c r="M16" i="18" s="1"/>
  <c r="M14" i="18" s="1"/>
  <c r="L26" i="18"/>
  <c r="L24" i="18" s="1"/>
  <c r="M279" i="18"/>
  <c r="M277" i="18" s="1"/>
  <c r="L321" i="18"/>
  <c r="O321" i="18" s="1"/>
  <c r="K359" i="17"/>
  <c r="M47" i="18"/>
  <c r="P47" i="18" s="1"/>
  <c r="O140" i="18"/>
  <c r="J143" i="18"/>
  <c r="J131" i="18" s="1"/>
  <c r="P154" i="18"/>
  <c r="L263" i="18"/>
  <c r="N279" i="18"/>
  <c r="N277" i="18" s="1"/>
  <c r="L330" i="18"/>
  <c r="L328" i="18" s="1"/>
  <c r="K372" i="18"/>
  <c r="N391" i="18"/>
  <c r="N389" i="18" s="1"/>
  <c r="N26" i="18"/>
  <c r="N16" i="18" s="1"/>
  <c r="N14" i="18" s="1"/>
  <c r="K647" i="18"/>
  <c r="K828" i="18"/>
  <c r="L152" i="17"/>
  <c r="O152" i="17" s="1"/>
  <c r="P353" i="17"/>
  <c r="K801" i="17"/>
  <c r="P61" i="18"/>
  <c r="M134" i="18"/>
  <c r="L168" i="18"/>
  <c r="L209" i="18"/>
  <c r="O209" i="18" s="1"/>
  <c r="L228" i="18"/>
  <c r="K260" i="18"/>
  <c r="M263" i="18"/>
  <c r="L395" i="18"/>
  <c r="O395" i="18" s="1"/>
  <c r="K823" i="18"/>
  <c r="L655" i="18"/>
  <c r="O655" i="18" s="1"/>
  <c r="O657" i="18"/>
  <c r="M134" i="16"/>
  <c r="M132" i="16" s="1"/>
  <c r="P132" i="16" s="1"/>
  <c r="N121" i="17"/>
  <c r="N119" i="17" s="1"/>
  <c r="N183" i="17"/>
  <c r="N181" i="17" s="1"/>
  <c r="N263" i="17"/>
  <c r="N261" i="17" s="1"/>
  <c r="I275" i="17"/>
  <c r="L279" i="17"/>
  <c r="L277" i="17" s="1"/>
  <c r="K374" i="17"/>
  <c r="L405" i="17"/>
  <c r="O405" i="17" s="1"/>
  <c r="N23" i="18"/>
  <c r="N21" i="18" s="1"/>
  <c r="N56" i="18"/>
  <c r="O56" i="18" s="1"/>
  <c r="M59" i="18"/>
  <c r="P59" i="18" s="1"/>
  <c r="M94" i="18"/>
  <c r="P94" i="18" s="1"/>
  <c r="I112" i="18"/>
  <c r="K112" i="18" s="1"/>
  <c r="M152" i="18"/>
  <c r="P152" i="18" s="1"/>
  <c r="M167" i="18"/>
  <c r="L171" i="18"/>
  <c r="O171" i="18" s="1"/>
  <c r="M184" i="18"/>
  <c r="P184" i="18" s="1"/>
  <c r="L230" i="18"/>
  <c r="N301" i="18"/>
  <c r="O303" i="18"/>
  <c r="N318" i="18"/>
  <c r="P318" i="18" s="1"/>
  <c r="O350" i="18"/>
  <c r="K374" i="18"/>
  <c r="K381" i="18"/>
  <c r="L392" i="18"/>
  <c r="O392" i="18" s="1"/>
  <c r="O410" i="18"/>
  <c r="L477" i="18"/>
  <c r="O477" i="18" s="1"/>
  <c r="K673" i="18"/>
  <c r="L688" i="18"/>
  <c r="O688" i="18" s="1"/>
  <c r="L533" i="14"/>
  <c r="O533" i="14" s="1"/>
  <c r="L44" i="18"/>
  <c r="O44" i="18" s="1"/>
  <c r="P264" i="18"/>
  <c r="P44" i="17"/>
  <c r="O124" i="17"/>
  <c r="P184" i="17"/>
  <c r="M318" i="17"/>
  <c r="P318" i="17" s="1"/>
  <c r="M321" i="17"/>
  <c r="P321" i="17" s="1"/>
  <c r="K362" i="17"/>
  <c r="L429" i="17"/>
  <c r="O429" i="17" s="1"/>
  <c r="L36" i="18"/>
  <c r="O36" i="18" s="1"/>
  <c r="K116" i="18"/>
  <c r="P186" i="18"/>
  <c r="L304" i="18"/>
  <c r="O304" i="18" s="1"/>
  <c r="I314" i="18"/>
  <c r="K314" i="18" s="1"/>
  <c r="N330" i="18"/>
  <c r="N328" i="18" s="1"/>
  <c r="P333" i="18"/>
  <c r="L351" i="18"/>
  <c r="O351" i="18" s="1"/>
  <c r="P351" i="18"/>
  <c r="M392" i="18"/>
  <c r="P392" i="18" s="1"/>
  <c r="L404" i="18"/>
  <c r="O404" i="18" s="1"/>
  <c r="L447" i="18"/>
  <c r="O447" i="18" s="1"/>
  <c r="O535" i="18"/>
  <c r="L547" i="18"/>
  <c r="O547" i="18" s="1"/>
  <c r="J628" i="18"/>
  <c r="K628" i="18" s="1"/>
  <c r="K674" i="18"/>
  <c r="K825" i="18"/>
  <c r="L304" i="16"/>
  <c r="O304" i="16" s="1"/>
  <c r="L283" i="17"/>
  <c r="O283" i="17" s="1"/>
  <c r="O46" i="18"/>
  <c r="P49" i="18"/>
  <c r="O93" i="18"/>
  <c r="L187" i="18"/>
  <c r="O187" i="18" s="1"/>
  <c r="L280" i="18"/>
  <c r="O280" i="18" s="1"/>
  <c r="O407" i="18"/>
  <c r="J722" i="18"/>
  <c r="K722" i="18" s="1"/>
  <c r="P285" i="17"/>
  <c r="J364" i="17"/>
  <c r="M43" i="18"/>
  <c r="L151" i="18"/>
  <c r="L149" i="18" s="1"/>
  <c r="I174" i="18"/>
  <c r="L198" i="18"/>
  <c r="O198" i="18" s="1"/>
  <c r="L249" i="18"/>
  <c r="O249" i="18" s="1"/>
  <c r="M317" i="18"/>
  <c r="M315" i="18" s="1"/>
  <c r="N347" i="18"/>
  <c r="K355" i="18"/>
  <c r="J365" i="18"/>
  <c r="J364" i="18" s="1"/>
  <c r="L391" i="18"/>
  <c r="N404" i="18"/>
  <c r="N402" i="18" s="1"/>
  <c r="I592" i="18"/>
  <c r="K592" i="18" s="1"/>
  <c r="O660" i="18"/>
  <c r="K701" i="18"/>
  <c r="M392" i="17"/>
  <c r="P392" i="17" s="1"/>
  <c r="J721" i="17"/>
  <c r="K823" i="17"/>
  <c r="K826" i="17"/>
  <c r="L23" i="18"/>
  <c r="P58" i="18"/>
  <c r="M151" i="18"/>
  <c r="O154" i="18"/>
  <c r="L238" i="18"/>
  <c r="O238" i="18" s="1"/>
  <c r="N317" i="18"/>
  <c r="N315" i="18" s="1"/>
  <c r="M334" i="18"/>
  <c r="P334" i="18" s="1"/>
  <c r="P350" i="18"/>
  <c r="K370" i="18"/>
  <c r="M391" i="18"/>
  <c r="J537" i="18"/>
  <c r="J522" i="18" s="1"/>
  <c r="K522" i="18" s="1"/>
  <c r="L546" i="18"/>
  <c r="L544" i="18" s="1"/>
  <c r="O544" i="18" s="1"/>
  <c r="O658" i="18"/>
  <c r="K723" i="18"/>
  <c r="K726" i="18"/>
  <c r="J721" i="13"/>
  <c r="N68" i="14"/>
  <c r="N66" i="14" s="1"/>
  <c r="O303" i="17"/>
  <c r="P333" i="17"/>
  <c r="O350" i="17"/>
  <c r="I364" i="17"/>
  <c r="O456" i="17"/>
  <c r="L36" i="17"/>
  <c r="O36" i="17" s="1"/>
  <c r="P19" i="18"/>
  <c r="M29" i="18"/>
  <c r="K100" i="18"/>
  <c r="P120" i="18"/>
  <c r="M125" i="18"/>
  <c r="P125" i="18" s="1"/>
  <c r="L229" i="16"/>
  <c r="L249" i="17"/>
  <c r="O249" i="17" s="1"/>
  <c r="L267" i="17"/>
  <c r="O267" i="17" s="1"/>
  <c r="P331" i="17"/>
  <c r="L391" i="17"/>
  <c r="N29" i="18"/>
  <c r="N28" i="18" s="1"/>
  <c r="M56" i="18"/>
  <c r="I86" i="18"/>
  <c r="K86" i="18" s="1"/>
  <c r="K98" i="18"/>
  <c r="N90" i="17"/>
  <c r="N88" i="17" s="1"/>
  <c r="L334" i="17"/>
  <c r="O334" i="17" s="1"/>
  <c r="O58" i="17"/>
  <c r="L134" i="17"/>
  <c r="I148" i="17"/>
  <c r="K148" i="17" s="1"/>
  <c r="M151" i="17"/>
  <c r="M149" i="17" s="1"/>
  <c r="P149" i="17" s="1"/>
  <c r="L217" i="17"/>
  <c r="O217" i="17" s="1"/>
  <c r="L231" i="17"/>
  <c r="M317" i="17"/>
  <c r="P317" i="17" s="1"/>
  <c r="O353" i="17"/>
  <c r="K825" i="17"/>
  <c r="K828" i="17"/>
  <c r="N12" i="18"/>
  <c r="O22" i="18"/>
  <c r="L19" i="18"/>
  <c r="L12" i="18"/>
  <c r="L55" i="18"/>
  <c r="I76" i="18"/>
  <c r="O124" i="18"/>
  <c r="L122" i="18"/>
  <c r="O122" i="18" s="1"/>
  <c r="K340" i="17"/>
  <c r="I592" i="17"/>
  <c r="K592" i="17" s="1"/>
  <c r="K647" i="17"/>
  <c r="N19" i="18"/>
  <c r="M30" i="18"/>
  <c r="P30" i="18" s="1"/>
  <c r="N34" i="18"/>
  <c r="O42" i="18"/>
  <c r="M55" i="18"/>
  <c r="O58" i="18"/>
  <c r="O61" i="18"/>
  <c r="L59" i="18"/>
  <c r="O59" i="18" s="1"/>
  <c r="L94" i="18"/>
  <c r="O94" i="18" s="1"/>
  <c r="O127" i="18"/>
  <c r="L125" i="18"/>
  <c r="O125" i="18" s="1"/>
  <c r="L29" i="18"/>
  <c r="M34" i="18"/>
  <c r="P34" i="18" s="1"/>
  <c r="M122" i="18"/>
  <c r="P122" i="18" s="1"/>
  <c r="I77" i="18"/>
  <c r="I130" i="18"/>
  <c r="K130" i="18" s="1"/>
  <c r="P150" i="18"/>
  <c r="L152" i="18"/>
  <c r="O152" i="18" s="1"/>
  <c r="L155" i="18"/>
  <c r="O155" i="18" s="1"/>
  <c r="I237" i="18"/>
  <c r="O262" i="18"/>
  <c r="I143" i="18"/>
  <c r="K145" i="18"/>
  <c r="I233" i="18"/>
  <c r="K233" i="18" s="1"/>
  <c r="I248" i="18"/>
  <c r="K248" i="18" s="1"/>
  <c r="P419" i="18"/>
  <c r="N414" i="18"/>
  <c r="I197" i="18"/>
  <c r="K197" i="18" s="1"/>
  <c r="P266" i="18"/>
  <c r="P269" i="18"/>
  <c r="P278" i="18"/>
  <c r="P303" i="18"/>
  <c r="P306" i="18"/>
  <c r="L421" i="18"/>
  <c r="O431" i="18"/>
  <c r="L446" i="18"/>
  <c r="O456" i="18"/>
  <c r="M544" i="18"/>
  <c r="P544" i="18" s="1"/>
  <c r="L631" i="18"/>
  <c r="O641" i="18"/>
  <c r="K728" i="18"/>
  <c r="L737" i="18"/>
  <c r="O737" i="18" s="1"/>
  <c r="L754" i="18"/>
  <c r="O754" i="18" s="1"/>
  <c r="L770" i="18"/>
  <c r="O770" i="18" s="1"/>
  <c r="N808" i="18"/>
  <c r="P262" i="18"/>
  <c r="L264" i="18"/>
  <c r="O264" i="18" s="1"/>
  <c r="L267" i="18"/>
  <c r="O267" i="18" s="1"/>
  <c r="M280" i="18"/>
  <c r="P280" i="18" s="1"/>
  <c r="M283" i="18"/>
  <c r="P283" i="18" s="1"/>
  <c r="N331" i="18"/>
  <c r="P331" i="18" s="1"/>
  <c r="L469" i="18"/>
  <c r="O469" i="18" s="1"/>
  <c r="O528" i="18"/>
  <c r="L685" i="18"/>
  <c r="O685" i="18" s="1"/>
  <c r="M737" i="18"/>
  <c r="P737" i="18" s="1"/>
  <c r="M754" i="18"/>
  <c r="P754" i="18" s="1"/>
  <c r="M770" i="18"/>
  <c r="P770" i="18" s="1"/>
  <c r="L786" i="18"/>
  <c r="O786" i="18" s="1"/>
  <c r="O791" i="18"/>
  <c r="L805" i="18"/>
  <c r="O805" i="18" s="1"/>
  <c r="P320" i="18"/>
  <c r="P323" i="18"/>
  <c r="M523" i="18"/>
  <c r="P523" i="18" s="1"/>
  <c r="K675" i="18"/>
  <c r="M685" i="18"/>
  <c r="P685" i="18" s="1"/>
  <c r="M786" i="18"/>
  <c r="P786" i="18" s="1"/>
  <c r="K800" i="18"/>
  <c r="J433" i="18"/>
  <c r="J417" i="18" s="1"/>
  <c r="L555" i="11"/>
  <c r="O555" i="11" s="1"/>
  <c r="L632" i="10"/>
  <c r="O632" i="10" s="1"/>
  <c r="L90" i="11"/>
  <c r="L88" i="11" s="1"/>
  <c r="M72" i="16"/>
  <c r="P72" i="16" s="1"/>
  <c r="L33" i="17"/>
  <c r="O33" i="17" s="1"/>
  <c r="K81" i="17"/>
  <c r="M167" i="17"/>
  <c r="M267" i="17"/>
  <c r="P267" i="17" s="1"/>
  <c r="M334" i="17"/>
  <c r="P334" i="17" s="1"/>
  <c r="K360" i="17"/>
  <c r="K369" i="17"/>
  <c r="N391" i="17"/>
  <c r="N389" i="17" s="1"/>
  <c r="K628" i="17"/>
  <c r="L657" i="17"/>
  <c r="L655" i="17" s="1"/>
  <c r="O655" i="17" s="1"/>
  <c r="O660" i="17"/>
  <c r="M121" i="13"/>
  <c r="P121" i="13" s="1"/>
  <c r="M304" i="13"/>
  <c r="P304" i="13" s="1"/>
  <c r="N317" i="13"/>
  <c r="N315" i="13" s="1"/>
  <c r="L347" i="13"/>
  <c r="L345" i="13" s="1"/>
  <c r="N183" i="16"/>
  <c r="N181" i="16" s="1"/>
  <c r="M121" i="17"/>
  <c r="M119" i="17" s="1"/>
  <c r="P119" i="17" s="1"/>
  <c r="M152" i="17"/>
  <c r="P152" i="17" s="1"/>
  <c r="P154" i="17"/>
  <c r="N167" i="17"/>
  <c r="N165" i="17" s="1"/>
  <c r="O282" i="17"/>
  <c r="O331" i="17"/>
  <c r="O333" i="17"/>
  <c r="L348" i="17"/>
  <c r="O348" i="17" s="1"/>
  <c r="K370" i="17"/>
  <c r="N395" i="17"/>
  <c r="O397" i="17"/>
  <c r="I443" i="17"/>
  <c r="K443" i="17" s="1"/>
  <c r="I442" i="12"/>
  <c r="K442" i="12" s="1"/>
  <c r="I785" i="14"/>
  <c r="L229" i="15"/>
  <c r="N55" i="17"/>
  <c r="N53" i="17" s="1"/>
  <c r="L183" i="17"/>
  <c r="L181" i="17" s="1"/>
  <c r="I190" i="17"/>
  <c r="K190" i="17" s="1"/>
  <c r="J327" i="17"/>
  <c r="K327" i="17" s="1"/>
  <c r="P348" i="17"/>
  <c r="N347" i="17"/>
  <c r="K378" i="17"/>
  <c r="K381" i="17"/>
  <c r="L421" i="17"/>
  <c r="O421" i="17" s="1"/>
  <c r="L631" i="17"/>
  <c r="O631" i="17" s="1"/>
  <c r="O303" i="16"/>
  <c r="O320" i="16"/>
  <c r="M43" i="17"/>
  <c r="M41" i="17" s="1"/>
  <c r="M90" i="17"/>
  <c r="M88" i="17" s="1"/>
  <c r="L238" i="17"/>
  <c r="O238" i="17" s="1"/>
  <c r="I785" i="17"/>
  <c r="O58" i="16"/>
  <c r="K379" i="16"/>
  <c r="M47" i="17"/>
  <c r="P47" i="17" s="1"/>
  <c r="M351" i="17"/>
  <c r="P351" i="17" s="1"/>
  <c r="K379" i="17"/>
  <c r="L392" i="17"/>
  <c r="O392" i="17" s="1"/>
  <c r="L404" i="17"/>
  <c r="O404" i="17" s="1"/>
  <c r="M404" i="17"/>
  <c r="P404" i="17" s="1"/>
  <c r="N404" i="17"/>
  <c r="N402" i="17" s="1"/>
  <c r="L546" i="17"/>
  <c r="L544" i="17" s="1"/>
  <c r="K821" i="17"/>
  <c r="K824" i="17"/>
  <c r="J364" i="16"/>
  <c r="L55" i="17"/>
  <c r="L151" i="17"/>
  <c r="O157" i="17"/>
  <c r="N134" i="15"/>
  <c r="N132" i="15" s="1"/>
  <c r="L72" i="16"/>
  <c r="O72" i="16" s="1"/>
  <c r="N167" i="16"/>
  <c r="N165" i="16" s="1"/>
  <c r="M304" i="16"/>
  <c r="P304" i="16" s="1"/>
  <c r="N347" i="16"/>
  <c r="N345" i="16" s="1"/>
  <c r="K360" i="16"/>
  <c r="L56" i="17"/>
  <c r="O56" i="17" s="1"/>
  <c r="P58" i="17"/>
  <c r="M55" i="17"/>
  <c r="P157" i="17"/>
  <c r="M155" i="17"/>
  <c r="P155" i="17" s="1"/>
  <c r="L168" i="17"/>
  <c r="O168" i="17" s="1"/>
  <c r="L167" i="17"/>
  <c r="L165" i="17" s="1"/>
  <c r="O170" i="17"/>
  <c r="O186" i="17"/>
  <c r="L300" i="17"/>
  <c r="L298" i="17" s="1"/>
  <c r="O306" i="17"/>
  <c r="L304" i="17"/>
  <c r="O304" i="17" s="1"/>
  <c r="L658" i="13"/>
  <c r="O658" i="13" s="1"/>
  <c r="I86" i="17"/>
  <c r="K86" i="17" s="1"/>
  <c r="K98" i="17"/>
  <c r="M183" i="16"/>
  <c r="M181" i="16" s="1"/>
  <c r="L230" i="16"/>
  <c r="O264" i="16"/>
  <c r="I314" i="16"/>
  <c r="K314" i="16" s="1"/>
  <c r="L404" i="16"/>
  <c r="O404" i="16" s="1"/>
  <c r="O472" i="16"/>
  <c r="M56" i="17"/>
  <c r="P56" i="17" s="1"/>
  <c r="O61" i="17"/>
  <c r="P168" i="17"/>
  <c r="I208" i="17"/>
  <c r="K208" i="17" s="1"/>
  <c r="K215" i="17"/>
  <c r="K287" i="17"/>
  <c r="I276" i="17"/>
  <c r="K276" i="17" s="1"/>
  <c r="L151" i="16"/>
  <c r="L149" i="16" s="1"/>
  <c r="L405" i="16"/>
  <c r="O405" i="16" s="1"/>
  <c r="L408" i="16"/>
  <c r="O408" i="16" s="1"/>
  <c r="L26" i="17"/>
  <c r="L24" i="17" s="1"/>
  <c r="P61" i="17"/>
  <c r="M26" i="17"/>
  <c r="M24" i="17" s="1"/>
  <c r="K146" i="17"/>
  <c r="I130" i="17"/>
  <c r="K130" i="17" s="1"/>
  <c r="L155" i="17"/>
  <c r="O155" i="17" s="1"/>
  <c r="K271" i="17"/>
  <c r="I260" i="17"/>
  <c r="K260" i="17" s="1"/>
  <c r="L90" i="17"/>
  <c r="O93" i="17"/>
  <c r="L91" i="17"/>
  <c r="O91" i="17" s="1"/>
  <c r="L68" i="16"/>
  <c r="L66" i="16" s="1"/>
  <c r="L134" i="16"/>
  <c r="O134" i="16" s="1"/>
  <c r="M264" i="16"/>
  <c r="P264" i="16" s="1"/>
  <c r="L301" i="16"/>
  <c r="O301" i="16" s="1"/>
  <c r="M300" i="16"/>
  <c r="M298" i="16" s="1"/>
  <c r="L347" i="16"/>
  <c r="L345" i="16" s="1"/>
  <c r="K651" i="16"/>
  <c r="N23" i="17"/>
  <c r="N13" i="17" s="1"/>
  <c r="M59" i="17"/>
  <c r="L263" i="17"/>
  <c r="O266" i="17"/>
  <c r="L264" i="17"/>
  <c r="O264" i="17" s="1"/>
  <c r="M279" i="17"/>
  <c r="M277" i="17" s="1"/>
  <c r="M280" i="17"/>
  <c r="N301" i="17"/>
  <c r="O301" i="17" s="1"/>
  <c r="P397" i="17"/>
  <c r="M391" i="17"/>
  <c r="K543" i="17"/>
  <c r="I174" i="17"/>
  <c r="K174" i="17" s="1"/>
  <c r="K176" i="17"/>
  <c r="O479" i="17"/>
  <c r="L469" i="17"/>
  <c r="M404" i="15"/>
  <c r="P404" i="15" s="1"/>
  <c r="O641" i="15"/>
  <c r="P69" i="16"/>
  <c r="M301" i="16"/>
  <c r="P301" i="16" s="1"/>
  <c r="K577" i="16"/>
  <c r="N59" i="17"/>
  <c r="O59" i="17" s="1"/>
  <c r="I112" i="17"/>
  <c r="K112" i="17" s="1"/>
  <c r="K224" i="17"/>
  <c r="I216" i="17"/>
  <c r="K216" i="17" s="1"/>
  <c r="P266" i="17"/>
  <c r="M264" i="17"/>
  <c r="P264" i="17" s="1"/>
  <c r="P350" i="17"/>
  <c r="M347" i="17"/>
  <c r="M395" i="17"/>
  <c r="P395" i="17" s="1"/>
  <c r="N408" i="17"/>
  <c r="O557" i="17"/>
  <c r="K621" i="17"/>
  <c r="O189" i="17"/>
  <c r="L228" i="17"/>
  <c r="L330" i="17"/>
  <c r="I433" i="17"/>
  <c r="I417" i="17" s="1"/>
  <c r="K537" i="17"/>
  <c r="K561" i="17"/>
  <c r="J785" i="17"/>
  <c r="M23" i="17"/>
  <c r="M21" i="17" s="1"/>
  <c r="M183" i="17"/>
  <c r="L198" i="17"/>
  <c r="O198" i="17" s="1"/>
  <c r="L229" i="17"/>
  <c r="N317" i="17"/>
  <c r="N315" i="17" s="1"/>
  <c r="M330" i="17"/>
  <c r="K355" i="17"/>
  <c r="K385" i="17"/>
  <c r="K559" i="17"/>
  <c r="L788" i="17"/>
  <c r="L786" i="17" s="1"/>
  <c r="O786" i="17" s="1"/>
  <c r="I76" i="17"/>
  <c r="O184" i="17"/>
  <c r="L209" i="17"/>
  <c r="O209" i="17" s="1"/>
  <c r="I233" i="17"/>
  <c r="K233" i="17" s="1"/>
  <c r="L230" i="17"/>
  <c r="O351" i="17"/>
  <c r="K82" i="17"/>
  <c r="M134" i="17"/>
  <c r="P134" i="17" s="1"/>
  <c r="O173" i="17"/>
  <c r="M300" i="17"/>
  <c r="M298" i="17" s="1"/>
  <c r="K338" i="17"/>
  <c r="L408" i="17"/>
  <c r="O408" i="17" s="1"/>
  <c r="L639" i="17"/>
  <c r="O639" i="17" s="1"/>
  <c r="P46" i="16"/>
  <c r="O170" i="16"/>
  <c r="L231" i="16"/>
  <c r="L300" i="16"/>
  <c r="L298" i="16" s="1"/>
  <c r="K649" i="16"/>
  <c r="K701" i="16"/>
  <c r="K821" i="16"/>
  <c r="K824" i="16"/>
  <c r="K827" i="16"/>
  <c r="M34" i="17"/>
  <c r="P34" i="17" s="1"/>
  <c r="P35" i="17"/>
  <c r="P42" i="17"/>
  <c r="N47" i="17"/>
  <c r="N26" i="17"/>
  <c r="N16" i="17" s="1"/>
  <c r="N14" i="17" s="1"/>
  <c r="P133" i="17"/>
  <c r="K708" i="15"/>
  <c r="K729" i="15"/>
  <c r="K355" i="16"/>
  <c r="P22" i="17"/>
  <c r="M19" i="17"/>
  <c r="M12" i="17"/>
  <c r="P33" i="17"/>
  <c r="M30" i="17"/>
  <c r="P30" i="17" s="1"/>
  <c r="M31" i="17"/>
  <c r="P31" i="17" s="1"/>
  <c r="O12" i="17"/>
  <c r="N19" i="17"/>
  <c r="N12" i="17"/>
  <c r="O32" i="17"/>
  <c r="L29" i="17"/>
  <c r="L69" i="17"/>
  <c r="O69" i="17" s="1"/>
  <c r="O71" i="17"/>
  <c r="L125" i="15"/>
  <c r="O125" i="15" s="1"/>
  <c r="K701" i="15"/>
  <c r="N55" i="16"/>
  <c r="L121" i="16"/>
  <c r="L119" i="16" s="1"/>
  <c r="M263" i="16"/>
  <c r="N300" i="16"/>
  <c r="N298" i="16" s="1"/>
  <c r="L317" i="16"/>
  <c r="O317" i="16" s="1"/>
  <c r="M395" i="16"/>
  <c r="P395" i="16" s="1"/>
  <c r="L36" i="16"/>
  <c r="O36" i="16" s="1"/>
  <c r="O25" i="17"/>
  <c r="L15" i="17"/>
  <c r="L9" i="17" s="1"/>
  <c r="L44" i="17"/>
  <c r="O44" i="17" s="1"/>
  <c r="L23" i="17"/>
  <c r="O46" i="17"/>
  <c r="L72" i="17"/>
  <c r="O72" i="17" s="1"/>
  <c r="O74" i="17"/>
  <c r="O89" i="17"/>
  <c r="J143" i="17"/>
  <c r="J131" i="17" s="1"/>
  <c r="K144" i="17"/>
  <c r="M280" i="15"/>
  <c r="P280" i="15" s="1"/>
  <c r="I297" i="15"/>
  <c r="K297" i="15" s="1"/>
  <c r="M68" i="16"/>
  <c r="M66" i="16" s="1"/>
  <c r="M94" i="16"/>
  <c r="P94" i="16" s="1"/>
  <c r="M122" i="16"/>
  <c r="P122" i="16" s="1"/>
  <c r="N134" i="16"/>
  <c r="N132" i="16" s="1"/>
  <c r="M138" i="16"/>
  <c r="P138" i="16" s="1"/>
  <c r="N263" i="16"/>
  <c r="N261" i="16" s="1"/>
  <c r="M279" i="16"/>
  <c r="M277" i="16" s="1"/>
  <c r="L321" i="16"/>
  <c r="O321" i="16" s="1"/>
  <c r="M331" i="16"/>
  <c r="P331" i="16" s="1"/>
  <c r="K338" i="16"/>
  <c r="K370" i="16"/>
  <c r="K381" i="16"/>
  <c r="J722" i="16"/>
  <c r="K722" i="16" s="1"/>
  <c r="M28" i="17"/>
  <c r="P28" i="17" s="1"/>
  <c r="N43" i="17"/>
  <c r="N41" i="17" s="1"/>
  <c r="L47" i="17"/>
  <c r="O47" i="17" s="1"/>
  <c r="O49" i="17"/>
  <c r="M91" i="17"/>
  <c r="P91" i="17" s="1"/>
  <c r="P93" i="17"/>
  <c r="N134" i="17"/>
  <c r="N132" i="17" s="1"/>
  <c r="O44" i="16"/>
  <c r="O184" i="16"/>
  <c r="P303" i="16"/>
  <c r="M347" i="16"/>
  <c r="M345" i="16" s="1"/>
  <c r="K359" i="16"/>
  <c r="K362" i="16"/>
  <c r="K374" i="16"/>
  <c r="L19" i="17"/>
  <c r="P67" i="17"/>
  <c r="M304" i="17"/>
  <c r="P304" i="17" s="1"/>
  <c r="P306" i="17"/>
  <c r="P546" i="17"/>
  <c r="M544" i="17"/>
  <c r="P544" i="17" s="1"/>
  <c r="O739" i="17"/>
  <c r="L737" i="17"/>
  <c r="O737" i="17" s="1"/>
  <c r="P96" i="17"/>
  <c r="K99" i="17"/>
  <c r="O137" i="17"/>
  <c r="O140" i="17"/>
  <c r="O166" i="17"/>
  <c r="P170" i="17"/>
  <c r="P173" i="17"/>
  <c r="O182" i="17"/>
  <c r="P186" i="17"/>
  <c r="P189" i="17"/>
  <c r="K225" i="17"/>
  <c r="L318" i="17"/>
  <c r="O318" i="17" s="1"/>
  <c r="J433" i="17"/>
  <c r="N502" i="17"/>
  <c r="N414" i="17" s="1"/>
  <c r="N739" i="17"/>
  <c r="N737" i="17" s="1"/>
  <c r="N740" i="17"/>
  <c r="P46" i="17"/>
  <c r="M263" i="17"/>
  <c r="N280" i="17"/>
  <c r="P282" i="17"/>
  <c r="I314" i="17"/>
  <c r="K314" i="17" s="1"/>
  <c r="M405" i="17"/>
  <c r="P405" i="17" s="1"/>
  <c r="P407" i="17"/>
  <c r="N547" i="17"/>
  <c r="K576" i="17"/>
  <c r="O772" i="17"/>
  <c r="L770" i="17"/>
  <c r="O770" i="17" s="1"/>
  <c r="P806" i="17"/>
  <c r="M805" i="17"/>
  <c r="P805" i="17" s="1"/>
  <c r="K827" i="17"/>
  <c r="N300" i="17"/>
  <c r="L321" i="17"/>
  <c r="O321" i="17" s="1"/>
  <c r="K372" i="17"/>
  <c r="P403" i="17"/>
  <c r="M467" i="17"/>
  <c r="P467" i="17" s="1"/>
  <c r="J537" i="17"/>
  <c r="J522" i="17" s="1"/>
  <c r="K538" i="17"/>
  <c r="O545" i="17"/>
  <c r="K577" i="17"/>
  <c r="N657" i="17"/>
  <c r="N655" i="17" s="1"/>
  <c r="O690" i="17"/>
  <c r="L687" i="17"/>
  <c r="N772" i="17"/>
  <c r="N770" i="17" s="1"/>
  <c r="N773" i="17"/>
  <c r="M301" i="17"/>
  <c r="P303" i="17"/>
  <c r="L317" i="17"/>
  <c r="M408" i="17"/>
  <c r="P408" i="17" s="1"/>
  <c r="P410" i="17"/>
  <c r="M502" i="17"/>
  <c r="P502" i="17" s="1"/>
  <c r="N544" i="17"/>
  <c r="J593" i="17"/>
  <c r="J592" i="17" s="1"/>
  <c r="K675" i="17"/>
  <c r="I654" i="17"/>
  <c r="K654" i="17" s="1"/>
  <c r="K674" i="17"/>
  <c r="K673" i="17"/>
  <c r="K669" i="17"/>
  <c r="K672" i="17"/>
  <c r="N687" i="17"/>
  <c r="N685" i="17" s="1"/>
  <c r="N688" i="17"/>
  <c r="O756" i="17"/>
  <c r="L754" i="17"/>
  <c r="O754" i="17" s="1"/>
  <c r="I197" i="17"/>
  <c r="K197" i="17" s="1"/>
  <c r="J275" i="17"/>
  <c r="P299" i="17"/>
  <c r="K365" i="17"/>
  <c r="K460" i="17"/>
  <c r="O535" i="17"/>
  <c r="L525" i="17"/>
  <c r="L547" i="17"/>
  <c r="O547" i="17" s="1"/>
  <c r="O549" i="17"/>
  <c r="K649" i="17"/>
  <c r="K651" i="17"/>
  <c r="P656" i="17"/>
  <c r="M655" i="17"/>
  <c r="P655" i="17" s="1"/>
  <c r="N658" i="17"/>
  <c r="O658" i="17" s="1"/>
  <c r="N756" i="17"/>
  <c r="N754" i="17" s="1"/>
  <c r="N757" i="17"/>
  <c r="I434" i="17"/>
  <c r="L447" i="17"/>
  <c r="O447" i="17" s="1"/>
  <c r="L477" i="17"/>
  <c r="O477" i="17" s="1"/>
  <c r="L134" i="12"/>
  <c r="L132" i="12" s="1"/>
  <c r="K145" i="15"/>
  <c r="I112" i="16"/>
  <c r="K112" i="16" s="1"/>
  <c r="K159" i="16"/>
  <c r="M267" i="16"/>
  <c r="P267" i="16" s="1"/>
  <c r="J288" i="16"/>
  <c r="K288" i="16" s="1"/>
  <c r="M351" i="16"/>
  <c r="P351" i="16" s="1"/>
  <c r="K378" i="16"/>
  <c r="K628" i="16"/>
  <c r="K647" i="16"/>
  <c r="N279" i="14"/>
  <c r="N277" i="14" s="1"/>
  <c r="M43" i="15"/>
  <c r="M41" i="15" s="1"/>
  <c r="M43" i="16"/>
  <c r="M41" i="16" s="1"/>
  <c r="L55" i="16"/>
  <c r="L53" i="16" s="1"/>
  <c r="N90" i="16"/>
  <c r="N88" i="16" s="1"/>
  <c r="P93" i="16"/>
  <c r="K98" i="16"/>
  <c r="L183" i="16"/>
  <c r="L181" i="16" s="1"/>
  <c r="L209" i="16"/>
  <c r="O209" i="16" s="1"/>
  <c r="N267" i="16"/>
  <c r="L525" i="16"/>
  <c r="O525" i="16" s="1"/>
  <c r="P49" i="15"/>
  <c r="M47" i="16"/>
  <c r="P47" i="16" s="1"/>
  <c r="L56" i="16"/>
  <c r="M59" i="16"/>
  <c r="P59" i="16" s="1"/>
  <c r="J143" i="16"/>
  <c r="J131" i="16" s="1"/>
  <c r="L249" i="16"/>
  <c r="O249" i="16" s="1"/>
  <c r="K369" i="16"/>
  <c r="L391" i="16"/>
  <c r="O391" i="16" s="1"/>
  <c r="M55" i="15"/>
  <c r="M53" i="15" s="1"/>
  <c r="L94" i="16"/>
  <c r="O94" i="16" s="1"/>
  <c r="P125" i="16"/>
  <c r="L167" i="16"/>
  <c r="L165" i="16" s="1"/>
  <c r="L187" i="16"/>
  <c r="O187" i="16" s="1"/>
  <c r="I197" i="16"/>
  <c r="K197" i="16" s="1"/>
  <c r="L198" i="16"/>
  <c r="O198" i="16" s="1"/>
  <c r="L283" i="16"/>
  <c r="O283" i="16" s="1"/>
  <c r="N55" i="12"/>
  <c r="N53" i="12" s="1"/>
  <c r="N300" i="15"/>
  <c r="N298" i="15" s="1"/>
  <c r="K700" i="15"/>
  <c r="K823" i="15"/>
  <c r="K826" i="15"/>
  <c r="N121" i="16"/>
  <c r="N119" i="16" s="1"/>
  <c r="O157" i="16"/>
  <c r="P170" i="16"/>
  <c r="P350" i="16"/>
  <c r="N391" i="16"/>
  <c r="N389" i="16" s="1"/>
  <c r="P407" i="16"/>
  <c r="L533" i="16"/>
  <c r="O533" i="16" s="1"/>
  <c r="K569" i="16"/>
  <c r="M151" i="12"/>
  <c r="M149" i="12" s="1"/>
  <c r="L408" i="13"/>
  <c r="O408" i="13" s="1"/>
  <c r="M151" i="14"/>
  <c r="M149" i="14" s="1"/>
  <c r="L122" i="15"/>
  <c r="O122" i="15" s="1"/>
  <c r="L209" i="15"/>
  <c r="O209" i="15" s="1"/>
  <c r="K369" i="15"/>
  <c r="L687" i="15"/>
  <c r="O687" i="15" s="1"/>
  <c r="L26" i="16"/>
  <c r="M135" i="16"/>
  <c r="P135" i="16" s="1"/>
  <c r="N152" i="16"/>
  <c r="O152" i="16" s="1"/>
  <c r="O154" i="16"/>
  <c r="M283" i="16"/>
  <c r="P283" i="16" s="1"/>
  <c r="N395" i="16"/>
  <c r="M404" i="16"/>
  <c r="L555" i="16"/>
  <c r="O555" i="16" s="1"/>
  <c r="O557" i="16"/>
  <c r="L655" i="16"/>
  <c r="J721" i="16"/>
  <c r="K721" i="16" s="1"/>
  <c r="N55" i="15"/>
  <c r="M125" i="15"/>
  <c r="P125" i="15" s="1"/>
  <c r="K381" i="15"/>
  <c r="M405" i="15"/>
  <c r="P405" i="15" s="1"/>
  <c r="O690" i="15"/>
  <c r="M26" i="16"/>
  <c r="M16" i="16" s="1"/>
  <c r="M14" i="16" s="1"/>
  <c r="M44" i="16"/>
  <c r="P44" i="16" s="1"/>
  <c r="L69" i="16"/>
  <c r="O69" i="16" s="1"/>
  <c r="M90" i="16"/>
  <c r="M88" i="16" s="1"/>
  <c r="K99" i="16"/>
  <c r="O127" i="16"/>
  <c r="P137" i="16"/>
  <c r="N168" i="16"/>
  <c r="O168" i="16" s="1"/>
  <c r="L171" i="16"/>
  <c r="O171" i="16" s="1"/>
  <c r="P186" i="16"/>
  <c r="L217" i="16"/>
  <c r="O217" i="16" s="1"/>
  <c r="L238" i="16"/>
  <c r="O238" i="16" s="1"/>
  <c r="I260" i="16"/>
  <c r="K260" i="16" s="1"/>
  <c r="O269" i="16"/>
  <c r="L279" i="16"/>
  <c r="L277" i="16" s="1"/>
  <c r="M317" i="16"/>
  <c r="P317" i="16" s="1"/>
  <c r="K340" i="16"/>
  <c r="M348" i="16"/>
  <c r="P348" i="16" s="1"/>
  <c r="P353" i="16"/>
  <c r="N404" i="16"/>
  <c r="N402" i="16" s="1"/>
  <c r="L421" i="16"/>
  <c r="O421" i="16" s="1"/>
  <c r="J433" i="16"/>
  <c r="J417" i="16" s="1"/>
  <c r="I442" i="16"/>
  <c r="K442" i="16" s="1"/>
  <c r="K462" i="16"/>
  <c r="K537" i="16"/>
  <c r="K561" i="16"/>
  <c r="L658" i="16"/>
  <c r="O658" i="16" s="1"/>
  <c r="O660" i="16"/>
  <c r="K720" i="16"/>
  <c r="M155" i="15"/>
  <c r="P155" i="15" s="1"/>
  <c r="P184" i="15"/>
  <c r="O407" i="15"/>
  <c r="K651" i="15"/>
  <c r="N23" i="16"/>
  <c r="N21" i="16" s="1"/>
  <c r="N26" i="16"/>
  <c r="N24" i="16" s="1"/>
  <c r="L47" i="16"/>
  <c r="O47" i="16" s="1"/>
  <c r="P58" i="16"/>
  <c r="L90" i="16"/>
  <c r="M121" i="16"/>
  <c r="M119" i="16" s="1"/>
  <c r="O173" i="16"/>
  <c r="O186" i="16"/>
  <c r="L228" i="16"/>
  <c r="P269" i="16"/>
  <c r="I276" i="16"/>
  <c r="K276" i="16" s="1"/>
  <c r="N317" i="16"/>
  <c r="N315" i="16" s="1"/>
  <c r="N330" i="16"/>
  <c r="N328" i="16" s="1"/>
  <c r="P333" i="16"/>
  <c r="I364" i="16"/>
  <c r="K372" i="16"/>
  <c r="M391" i="16"/>
  <c r="P410" i="16"/>
  <c r="O528" i="16"/>
  <c r="L546" i="16"/>
  <c r="L544" i="16" s="1"/>
  <c r="O544" i="16" s="1"/>
  <c r="I559" i="16"/>
  <c r="I543" i="16" s="1"/>
  <c r="K543" i="16" s="1"/>
  <c r="K725" i="16"/>
  <c r="K822" i="16"/>
  <c r="K825" i="16"/>
  <c r="K828" i="16"/>
  <c r="I216" i="14"/>
  <c r="K216" i="14" s="1"/>
  <c r="L263" i="15"/>
  <c r="L261" i="15" s="1"/>
  <c r="K674" i="15"/>
  <c r="I77" i="16"/>
  <c r="I174" i="16"/>
  <c r="I216" i="16"/>
  <c r="K216" i="16" s="1"/>
  <c r="L263" i="16"/>
  <c r="O266" i="16"/>
  <c r="N279" i="16"/>
  <c r="L631" i="16"/>
  <c r="L629" i="16" s="1"/>
  <c r="O629" i="16" s="1"/>
  <c r="N330" i="13"/>
  <c r="N328" i="13" s="1"/>
  <c r="K359" i="14"/>
  <c r="K362" i="14"/>
  <c r="L90" i="15"/>
  <c r="L88" i="15" s="1"/>
  <c r="L121" i="15"/>
  <c r="I276" i="15"/>
  <c r="K276" i="15" s="1"/>
  <c r="K379" i="15"/>
  <c r="L23" i="16"/>
  <c r="N56" i="16"/>
  <c r="M91" i="16"/>
  <c r="P91" i="16" s="1"/>
  <c r="O124" i="16"/>
  <c r="M151" i="16"/>
  <c r="M167" i="16"/>
  <c r="P282" i="16"/>
  <c r="M334" i="16"/>
  <c r="P334" i="16" s="1"/>
  <c r="J327" i="16"/>
  <c r="K327" i="16" s="1"/>
  <c r="K385" i="16"/>
  <c r="M392" i="16"/>
  <c r="P392" i="16" s="1"/>
  <c r="O431" i="16"/>
  <c r="K674" i="16"/>
  <c r="K823" i="16"/>
  <c r="K826" i="16"/>
  <c r="K338" i="14"/>
  <c r="O557" i="14"/>
  <c r="M94" i="15"/>
  <c r="P94" i="15" s="1"/>
  <c r="P96" i="15"/>
  <c r="O154" i="15"/>
  <c r="L152" i="15"/>
  <c r="L151" i="15"/>
  <c r="L149" i="15" s="1"/>
  <c r="O157" i="15"/>
  <c r="L155" i="15"/>
  <c r="O155" i="15" s="1"/>
  <c r="I143" i="14"/>
  <c r="K143" i="14" s="1"/>
  <c r="L55" i="15"/>
  <c r="L53" i="15" s="1"/>
  <c r="O19" i="16"/>
  <c r="L134" i="14"/>
  <c r="O134" i="14" s="1"/>
  <c r="L184" i="15"/>
  <c r="O184" i="15" s="1"/>
  <c r="O186" i="15"/>
  <c r="L183" i="15"/>
  <c r="L181" i="15" s="1"/>
  <c r="L187" i="15"/>
  <c r="O187" i="15" s="1"/>
  <c r="O189" i="15"/>
  <c r="P19" i="16"/>
  <c r="N404" i="14"/>
  <c r="N402" i="14" s="1"/>
  <c r="K647" i="14"/>
  <c r="N43" i="14"/>
  <c r="N41" i="14" s="1"/>
  <c r="O140" i="15"/>
  <c r="L138" i="15"/>
  <c r="O138" i="15" s="1"/>
  <c r="K159" i="15"/>
  <c r="I148" i="15"/>
  <c r="K148" i="15" s="1"/>
  <c r="O96" i="15"/>
  <c r="L94" i="15"/>
  <c r="O94" i="15" s="1"/>
  <c r="P137" i="15"/>
  <c r="M135" i="15"/>
  <c r="P135" i="15" s="1"/>
  <c r="O15" i="16"/>
  <c r="L228" i="15"/>
  <c r="N317" i="15"/>
  <c r="N315" i="15" s="1"/>
  <c r="L392" i="15"/>
  <c r="O392" i="15" s="1"/>
  <c r="M391" i="15"/>
  <c r="P391" i="15" s="1"/>
  <c r="O557" i="15"/>
  <c r="L43" i="16"/>
  <c r="M55" i="16"/>
  <c r="O61" i="16"/>
  <c r="N68" i="16"/>
  <c r="O71" i="16"/>
  <c r="O93" i="16"/>
  <c r="P127" i="16"/>
  <c r="P262" i="16"/>
  <c r="P771" i="16"/>
  <c r="M770" i="16"/>
  <c r="P770" i="16" s="1"/>
  <c r="I260" i="15"/>
  <c r="K260" i="15" s="1"/>
  <c r="L318" i="15"/>
  <c r="O318" i="15" s="1"/>
  <c r="M334" i="15"/>
  <c r="P334" i="15" s="1"/>
  <c r="P394" i="15"/>
  <c r="L546" i="15"/>
  <c r="O546" i="15" s="1"/>
  <c r="O22" i="16"/>
  <c r="M28" i="16"/>
  <c r="P28" i="16" s="1"/>
  <c r="O49" i="16"/>
  <c r="P71" i="16"/>
  <c r="I76" i="16"/>
  <c r="O137" i="16"/>
  <c r="L135" i="16"/>
  <c r="O135" i="16" s="1"/>
  <c r="I190" i="16"/>
  <c r="K190" i="16" s="1"/>
  <c r="L249" i="15"/>
  <c r="O249" i="15" s="1"/>
  <c r="K669" i="15"/>
  <c r="L12" i="16"/>
  <c r="P22" i="16"/>
  <c r="O25" i="16"/>
  <c r="P33" i="16"/>
  <c r="M34" i="16"/>
  <c r="P34" i="16" s="1"/>
  <c r="N43" i="16"/>
  <c r="O46" i="16"/>
  <c r="O125" i="16"/>
  <c r="I208" i="16"/>
  <c r="K208" i="16" s="1"/>
  <c r="L330" i="16"/>
  <c r="M347" i="15"/>
  <c r="M345" i="15" s="1"/>
  <c r="K359" i="15"/>
  <c r="K362" i="15"/>
  <c r="M12" i="16"/>
  <c r="O91" i="16"/>
  <c r="O140" i="16"/>
  <c r="L138" i="16"/>
  <c r="O138" i="16" s="1"/>
  <c r="O150" i="16"/>
  <c r="M152" i="16"/>
  <c r="P154" i="16"/>
  <c r="L334" i="16"/>
  <c r="O334" i="16" s="1"/>
  <c r="O336" i="16"/>
  <c r="L33" i="16"/>
  <c r="L31" i="16" s="1"/>
  <c r="O31" i="16" s="1"/>
  <c r="M23" i="16"/>
  <c r="M21" i="16" s="1"/>
  <c r="M56" i="16"/>
  <c r="K145" i="16"/>
  <c r="I143" i="16"/>
  <c r="M155" i="16"/>
  <c r="P155" i="16" s="1"/>
  <c r="P157" i="16"/>
  <c r="K255" i="16"/>
  <c r="I248" i="16"/>
  <c r="K248" i="16" s="1"/>
  <c r="L477" i="16"/>
  <c r="O477" i="16" s="1"/>
  <c r="O479" i="16"/>
  <c r="L469" i="16"/>
  <c r="I130" i="16"/>
  <c r="K130" i="16" s="1"/>
  <c r="K146" i="16"/>
  <c r="L447" i="16"/>
  <c r="O447" i="16" s="1"/>
  <c r="O449" i="16"/>
  <c r="L446" i="16"/>
  <c r="O787" i="16"/>
  <c r="L786" i="16"/>
  <c r="O786" i="16" s="1"/>
  <c r="M168" i="16"/>
  <c r="M171" i="16"/>
  <c r="P171" i="16" s="1"/>
  <c r="M184" i="16"/>
  <c r="P184" i="16" s="1"/>
  <c r="M187" i="16"/>
  <c r="P187" i="16" s="1"/>
  <c r="I233" i="16"/>
  <c r="K233" i="16" s="1"/>
  <c r="L392" i="16"/>
  <c r="O392" i="16" s="1"/>
  <c r="O394" i="16"/>
  <c r="P525" i="16"/>
  <c r="M523" i="16"/>
  <c r="P523" i="16" s="1"/>
  <c r="J543" i="16"/>
  <c r="P687" i="16"/>
  <c r="M685" i="16"/>
  <c r="P685" i="16" s="1"/>
  <c r="K723" i="16"/>
  <c r="P738" i="16"/>
  <c r="M737" i="16"/>
  <c r="P737" i="16" s="1"/>
  <c r="N770" i="16"/>
  <c r="L395" i="16"/>
  <c r="O395" i="16" s="1"/>
  <c r="O397" i="16"/>
  <c r="I434" i="16"/>
  <c r="K438" i="16"/>
  <c r="O524" i="16"/>
  <c r="N737" i="16"/>
  <c r="L422" i="16"/>
  <c r="O422" i="16" s="1"/>
  <c r="O424" i="16"/>
  <c r="L632" i="16"/>
  <c r="O632" i="16" s="1"/>
  <c r="O634" i="16"/>
  <c r="O686" i="16"/>
  <c r="P755" i="16"/>
  <c r="M754" i="16"/>
  <c r="P754" i="16" s="1"/>
  <c r="I785" i="16"/>
  <c r="K785" i="16" s="1"/>
  <c r="K800" i="16"/>
  <c r="O806" i="16"/>
  <c r="L805" i="16"/>
  <c r="O805" i="16" s="1"/>
  <c r="I237" i="16"/>
  <c r="L348" i="16"/>
  <c r="O348" i="16" s="1"/>
  <c r="O350" i="16"/>
  <c r="P316" i="16"/>
  <c r="L331" i="16"/>
  <c r="O331" i="16" s="1"/>
  <c r="O333" i="16"/>
  <c r="L351" i="16"/>
  <c r="O351" i="16" s="1"/>
  <c r="O353" i="16"/>
  <c r="J592" i="16"/>
  <c r="K592" i="16" s="1"/>
  <c r="K593" i="16"/>
  <c r="O545" i="16"/>
  <c r="I654" i="16"/>
  <c r="K654" i="16" s="1"/>
  <c r="P656" i="16"/>
  <c r="O791" i="16"/>
  <c r="N280" i="16"/>
  <c r="P280" i="16" s="1"/>
  <c r="P320" i="16"/>
  <c r="P323" i="16"/>
  <c r="J537" i="16"/>
  <c r="J522" i="16" s="1"/>
  <c r="L547" i="16"/>
  <c r="O547" i="16" s="1"/>
  <c r="K675" i="16"/>
  <c r="M786" i="16"/>
  <c r="P786" i="16" s="1"/>
  <c r="M805" i="16"/>
  <c r="P805" i="16" s="1"/>
  <c r="O282" i="16"/>
  <c r="K365" i="16"/>
  <c r="N657" i="16"/>
  <c r="N655" i="16" s="1"/>
  <c r="K672" i="16"/>
  <c r="L688" i="16"/>
  <c r="O688" i="16" s="1"/>
  <c r="K669" i="16"/>
  <c r="L687" i="16"/>
  <c r="O687" i="16" s="1"/>
  <c r="N280" i="15"/>
  <c r="M44" i="15"/>
  <c r="P44" i="15" s="1"/>
  <c r="M68" i="15"/>
  <c r="M66" i="15" s="1"/>
  <c r="I77" i="15"/>
  <c r="I65" i="15" s="1"/>
  <c r="K65" i="15" s="1"/>
  <c r="N135" i="15"/>
  <c r="K204" i="15"/>
  <c r="K255" i="15"/>
  <c r="L267" i="15"/>
  <c r="O267" i="15" s="1"/>
  <c r="M395" i="15"/>
  <c r="P395" i="15" s="1"/>
  <c r="P407" i="15"/>
  <c r="P410" i="15"/>
  <c r="K725" i="15"/>
  <c r="L231" i="13"/>
  <c r="L125" i="14"/>
  <c r="O125" i="14" s="1"/>
  <c r="L135" i="14"/>
  <c r="O135" i="14" s="1"/>
  <c r="O140" i="14"/>
  <c r="O74" i="15"/>
  <c r="M121" i="15"/>
  <c r="P121" i="15" s="1"/>
  <c r="M151" i="15"/>
  <c r="M149" i="15" s="1"/>
  <c r="J364" i="15"/>
  <c r="P397" i="15"/>
  <c r="M125" i="14"/>
  <c r="P125" i="14" s="1"/>
  <c r="P74" i="15"/>
  <c r="I76" i="15"/>
  <c r="I64" i="15" s="1"/>
  <c r="K64" i="15" s="1"/>
  <c r="J327" i="15"/>
  <c r="K327" i="15" s="1"/>
  <c r="K360" i="15"/>
  <c r="K370" i="15"/>
  <c r="L525" i="15"/>
  <c r="O525" i="15" s="1"/>
  <c r="K821" i="14"/>
  <c r="K824" i="14"/>
  <c r="I237" i="15"/>
  <c r="K237" i="15" s="1"/>
  <c r="I522" i="15"/>
  <c r="K522" i="15" s="1"/>
  <c r="K720" i="15"/>
  <c r="K821" i="15"/>
  <c r="K824" i="15"/>
  <c r="K827" i="15"/>
  <c r="J722" i="10"/>
  <c r="L55" i="13"/>
  <c r="L53" i="13" s="1"/>
  <c r="N68" i="13"/>
  <c r="N66" i="13" s="1"/>
  <c r="N183" i="14"/>
  <c r="L317" i="14"/>
  <c r="O317" i="14" s="1"/>
  <c r="O46" i="15"/>
  <c r="N56" i="15"/>
  <c r="O56" i="15" s="1"/>
  <c r="O91" i="15"/>
  <c r="P140" i="15"/>
  <c r="M138" i="15"/>
  <c r="P138" i="15" s="1"/>
  <c r="M167" i="15"/>
  <c r="M165" i="15" s="1"/>
  <c r="I208" i="15"/>
  <c r="K208" i="15" s="1"/>
  <c r="K215" i="15"/>
  <c r="M318" i="15"/>
  <c r="P318" i="15" s="1"/>
  <c r="L330" i="15"/>
  <c r="L328" i="15" s="1"/>
  <c r="L334" i="15"/>
  <c r="O334" i="15" s="1"/>
  <c r="K438" i="15"/>
  <c r="I434" i="15"/>
  <c r="I418" i="15" s="1"/>
  <c r="K418" i="15" s="1"/>
  <c r="O472" i="15"/>
  <c r="L231" i="11"/>
  <c r="P44" i="14"/>
  <c r="L228" i="14"/>
  <c r="L263" i="14"/>
  <c r="L261" i="14" s="1"/>
  <c r="M334" i="14"/>
  <c r="P334" i="14" s="1"/>
  <c r="L347" i="14"/>
  <c r="L345" i="14" s="1"/>
  <c r="L404" i="14"/>
  <c r="O404" i="14" s="1"/>
  <c r="J722" i="14"/>
  <c r="L43" i="15"/>
  <c r="P46" i="15"/>
  <c r="M69" i="15"/>
  <c r="P69" i="15" s="1"/>
  <c r="O71" i="15"/>
  <c r="K80" i="15"/>
  <c r="K83" i="15"/>
  <c r="M122" i="15"/>
  <c r="P122" i="15" s="1"/>
  <c r="N122" i="15"/>
  <c r="N121" i="15"/>
  <c r="N119" i="15" s="1"/>
  <c r="N167" i="15"/>
  <c r="N165" i="15" s="1"/>
  <c r="L230" i="15"/>
  <c r="M301" i="15"/>
  <c r="P301" i="15" s="1"/>
  <c r="N318" i="15"/>
  <c r="L351" i="15"/>
  <c r="O351" i="15" s="1"/>
  <c r="O353" i="15"/>
  <c r="L91" i="11"/>
  <c r="L94" i="11"/>
  <c r="O94" i="11" s="1"/>
  <c r="L43" i="14"/>
  <c r="L41" i="14" s="1"/>
  <c r="L69" i="14"/>
  <c r="O69" i="14" s="1"/>
  <c r="L152" i="14"/>
  <c r="O152" i="14" s="1"/>
  <c r="M155" i="14"/>
  <c r="P155" i="14" s="1"/>
  <c r="L229" i="14"/>
  <c r="M283" i="14"/>
  <c r="P283" i="14" s="1"/>
  <c r="K372" i="14"/>
  <c r="L36" i="15"/>
  <c r="O36" i="15" s="1"/>
  <c r="L68" i="15"/>
  <c r="P71" i="15"/>
  <c r="K143" i="15"/>
  <c r="K193" i="15"/>
  <c r="M330" i="15"/>
  <c r="M328" i="15" s="1"/>
  <c r="P353" i="15"/>
  <c r="M351" i="15"/>
  <c r="P351" i="15" s="1"/>
  <c r="J433" i="15"/>
  <c r="J417" i="15" s="1"/>
  <c r="L533" i="15"/>
  <c r="O533" i="15" s="1"/>
  <c r="O535" i="15"/>
  <c r="L658" i="15"/>
  <c r="O658" i="15" s="1"/>
  <c r="L657" i="15"/>
  <c r="L655" i="15" s="1"/>
  <c r="I443" i="7"/>
  <c r="K443" i="7" s="1"/>
  <c r="P44" i="12"/>
  <c r="P137" i="12"/>
  <c r="M347" i="12"/>
  <c r="M345" i="12" s="1"/>
  <c r="L183" i="14"/>
  <c r="L181" i="14" s="1"/>
  <c r="I237" i="14"/>
  <c r="K237" i="14" s="1"/>
  <c r="L469" i="14"/>
  <c r="O469" i="14" s="1"/>
  <c r="L23" i="15"/>
  <c r="L21" i="15" s="1"/>
  <c r="N43" i="15"/>
  <c r="N41" i="15" s="1"/>
  <c r="O44" i="15"/>
  <c r="O49" i="15"/>
  <c r="N90" i="15"/>
  <c r="O93" i="15"/>
  <c r="P124" i="15"/>
  <c r="I216" i="15"/>
  <c r="K216" i="15" s="1"/>
  <c r="K224" i="15"/>
  <c r="P269" i="15"/>
  <c r="M263" i="15"/>
  <c r="M261" i="15" s="1"/>
  <c r="P285" i="15"/>
  <c r="M283" i="15"/>
  <c r="P283" i="15" s="1"/>
  <c r="M279" i="15"/>
  <c r="O323" i="15"/>
  <c r="L317" i="15"/>
  <c r="O317" i="15" s="1"/>
  <c r="L321" i="15"/>
  <c r="O321" i="15" s="1"/>
  <c r="L447" i="15"/>
  <c r="O447" i="15" s="1"/>
  <c r="O449" i="15"/>
  <c r="I442" i="15"/>
  <c r="K442" i="15" s="1"/>
  <c r="K460" i="15"/>
  <c r="O660" i="15"/>
  <c r="J721" i="15"/>
  <c r="K721" i="15" s="1"/>
  <c r="I364" i="11"/>
  <c r="K649" i="14"/>
  <c r="N68" i="15"/>
  <c r="N66" i="15" s="1"/>
  <c r="M91" i="15"/>
  <c r="P91" i="15" s="1"/>
  <c r="P93" i="15"/>
  <c r="M90" i="15"/>
  <c r="O137" i="15"/>
  <c r="L134" i="15"/>
  <c r="L132" i="15" s="1"/>
  <c r="O132" i="15" s="1"/>
  <c r="N152" i="15"/>
  <c r="N151" i="15"/>
  <c r="P173" i="15"/>
  <c r="M171" i="15"/>
  <c r="P171" i="15" s="1"/>
  <c r="L304" i="15"/>
  <c r="O304" i="15" s="1"/>
  <c r="O306" i="15"/>
  <c r="K372" i="15"/>
  <c r="L391" i="15"/>
  <c r="O397" i="15"/>
  <c r="N404" i="15"/>
  <c r="N402" i="15" s="1"/>
  <c r="K576" i="15"/>
  <c r="I559" i="15"/>
  <c r="I543" i="15" s="1"/>
  <c r="K543" i="15" s="1"/>
  <c r="O170" i="15"/>
  <c r="L231" i="15"/>
  <c r="K385" i="15"/>
  <c r="K190" i="15"/>
  <c r="J722" i="15"/>
  <c r="K722" i="15" s="1"/>
  <c r="K378" i="15"/>
  <c r="L421" i="15"/>
  <c r="L419" i="15" s="1"/>
  <c r="O419" i="15" s="1"/>
  <c r="L446" i="15"/>
  <c r="L444" i="15" s="1"/>
  <c r="O444" i="15" s="1"/>
  <c r="K728" i="15"/>
  <c r="M183" i="15"/>
  <c r="M181" i="15" s="1"/>
  <c r="I233" i="15"/>
  <c r="K233" i="15" s="1"/>
  <c r="L347" i="15"/>
  <c r="K374" i="15"/>
  <c r="L429" i="15"/>
  <c r="O429" i="15" s="1"/>
  <c r="O431" i="15"/>
  <c r="J537" i="15"/>
  <c r="J522" i="15" s="1"/>
  <c r="O549" i="15"/>
  <c r="K673" i="15"/>
  <c r="K723" i="15"/>
  <c r="K726" i="15"/>
  <c r="K822" i="15"/>
  <c r="K825" i="15"/>
  <c r="K828" i="15"/>
  <c r="J364" i="14"/>
  <c r="M167" i="14"/>
  <c r="M165" i="14" s="1"/>
  <c r="M304" i="14"/>
  <c r="P304" i="14" s="1"/>
  <c r="I314" i="14"/>
  <c r="K314" i="14" s="1"/>
  <c r="O59" i="15"/>
  <c r="I86" i="15"/>
  <c r="K86" i="15" s="1"/>
  <c r="K98" i="15"/>
  <c r="I112" i="15"/>
  <c r="K112" i="15" s="1"/>
  <c r="K115" i="15"/>
  <c r="P168" i="15"/>
  <c r="O168" i="15"/>
  <c r="L632" i="15"/>
  <c r="O632" i="15" s="1"/>
  <c r="O634" i="15"/>
  <c r="L631" i="15"/>
  <c r="L33" i="15"/>
  <c r="N134" i="13"/>
  <c r="N132" i="13" s="1"/>
  <c r="L36" i="14"/>
  <c r="L34" i="14" s="1"/>
  <c r="O34" i="14" s="1"/>
  <c r="O44" i="14"/>
  <c r="O91" i="14"/>
  <c r="M90" i="14"/>
  <c r="M88" i="14" s="1"/>
  <c r="L209" i="14"/>
  <c r="O209" i="14" s="1"/>
  <c r="J327" i="14"/>
  <c r="K327" i="14" s="1"/>
  <c r="L348" i="14"/>
  <c r="O479" i="14"/>
  <c r="K594" i="14"/>
  <c r="M56" i="15"/>
  <c r="P58" i="15"/>
  <c r="M23" i="15"/>
  <c r="M59" i="15"/>
  <c r="P59" i="15" s="1"/>
  <c r="M26" i="15"/>
  <c r="P61" i="15"/>
  <c r="N263" i="15"/>
  <c r="L280" i="15"/>
  <c r="O280" i="15" s="1"/>
  <c r="O282" i="15"/>
  <c r="L279" i="15"/>
  <c r="O279" i="15" s="1"/>
  <c r="I297" i="12"/>
  <c r="K297" i="12" s="1"/>
  <c r="P170" i="14"/>
  <c r="K370" i="14"/>
  <c r="K378" i="14"/>
  <c r="K381" i="14"/>
  <c r="M391" i="14"/>
  <c r="P391" i="14" s="1"/>
  <c r="I442" i="14"/>
  <c r="K442" i="14" s="1"/>
  <c r="K537" i="14"/>
  <c r="O54" i="15"/>
  <c r="O69" i="15"/>
  <c r="P150" i="15"/>
  <c r="N395" i="15"/>
  <c r="N391" i="15"/>
  <c r="N389" i="15" s="1"/>
  <c r="I275" i="12"/>
  <c r="K275" i="12" s="1"/>
  <c r="O46" i="14"/>
  <c r="I130" i="14"/>
  <c r="K130" i="14" s="1"/>
  <c r="M183" i="14"/>
  <c r="M181" i="14" s="1"/>
  <c r="I190" i="14"/>
  <c r="K190" i="14" s="1"/>
  <c r="J537" i="14"/>
  <c r="J522" i="14" s="1"/>
  <c r="J721" i="14"/>
  <c r="K828" i="14"/>
  <c r="N15" i="15"/>
  <c r="N267" i="15"/>
  <c r="N26" i="15"/>
  <c r="N16" i="15" s="1"/>
  <c r="I174" i="15"/>
  <c r="K176" i="15"/>
  <c r="J288" i="13"/>
  <c r="J275" i="13" s="1"/>
  <c r="K255" i="14"/>
  <c r="L279" i="14"/>
  <c r="L277" i="14" s="1"/>
  <c r="O282" i="14"/>
  <c r="K379" i="14"/>
  <c r="K462" i="14"/>
  <c r="O472" i="14"/>
  <c r="N29" i="15"/>
  <c r="N28" i="15" s="1"/>
  <c r="N31" i="15"/>
  <c r="K144" i="15"/>
  <c r="J143" i="15"/>
  <c r="J131" i="15" s="1"/>
  <c r="L171" i="15"/>
  <c r="O171" i="15" s="1"/>
  <c r="L167" i="15"/>
  <c r="O173" i="15"/>
  <c r="L238" i="15"/>
  <c r="L15" i="15"/>
  <c r="L9" i="15" s="1"/>
  <c r="L29" i="15"/>
  <c r="M30" i="15"/>
  <c r="P30" i="15" s="1"/>
  <c r="M134" i="15"/>
  <c r="P134" i="15" s="1"/>
  <c r="P154" i="15"/>
  <c r="N183" i="15"/>
  <c r="M187" i="15"/>
  <c r="P187" i="15" s="1"/>
  <c r="L198" i="15"/>
  <c r="O198" i="15" s="1"/>
  <c r="O285" i="15"/>
  <c r="I314" i="15"/>
  <c r="K314" i="15" s="1"/>
  <c r="O336" i="15"/>
  <c r="K443" i="15"/>
  <c r="J592" i="15"/>
  <c r="K592" i="15" s="1"/>
  <c r="K593" i="15"/>
  <c r="M15" i="15"/>
  <c r="M9" i="15" s="1"/>
  <c r="N23" i="15"/>
  <c r="M29" i="15"/>
  <c r="O58" i="15"/>
  <c r="O61" i="15"/>
  <c r="M300" i="15"/>
  <c r="M304" i="15"/>
  <c r="P304" i="15" s="1"/>
  <c r="M317" i="15"/>
  <c r="P317" i="15" s="1"/>
  <c r="P323" i="15"/>
  <c r="O333" i="15"/>
  <c r="N348" i="15"/>
  <c r="P350" i="15"/>
  <c r="O350" i="15"/>
  <c r="N347" i="15"/>
  <c r="O403" i="15"/>
  <c r="L26" i="15"/>
  <c r="P170" i="15"/>
  <c r="L217" i="15"/>
  <c r="O217" i="15" s="1"/>
  <c r="P266" i="15"/>
  <c r="O266" i="15"/>
  <c r="N264" i="15"/>
  <c r="M321" i="15"/>
  <c r="P321" i="15" s="1"/>
  <c r="K111" i="15"/>
  <c r="P186" i="15"/>
  <c r="K225" i="15"/>
  <c r="K288" i="15"/>
  <c r="I275" i="15"/>
  <c r="K275" i="15" s="1"/>
  <c r="J288" i="15"/>
  <c r="J275" i="15" s="1"/>
  <c r="N331" i="15"/>
  <c r="O331" i="15" s="1"/>
  <c r="P333" i="15"/>
  <c r="N330" i="15"/>
  <c r="I364" i="15"/>
  <c r="K365" i="15"/>
  <c r="M419" i="15"/>
  <c r="P420" i="15"/>
  <c r="L301" i="15"/>
  <c r="O301" i="15" s="1"/>
  <c r="L300" i="15"/>
  <c r="O300" i="15" s="1"/>
  <c r="M467" i="15"/>
  <c r="P467" i="15" s="1"/>
  <c r="P468" i="15"/>
  <c r="L404" i="15"/>
  <c r="O404" i="15" s="1"/>
  <c r="O456" i="15"/>
  <c r="K462" i="15"/>
  <c r="M502" i="15"/>
  <c r="P502" i="15" s="1"/>
  <c r="P687" i="15"/>
  <c r="M685" i="15"/>
  <c r="P685" i="15" s="1"/>
  <c r="P755" i="15"/>
  <c r="M754" i="15"/>
  <c r="P754" i="15" s="1"/>
  <c r="P807" i="15"/>
  <c r="M805" i="15"/>
  <c r="P805" i="15" s="1"/>
  <c r="K338" i="15"/>
  <c r="O410" i="15"/>
  <c r="I433" i="15"/>
  <c r="N469" i="15"/>
  <c r="N467" i="15" s="1"/>
  <c r="O686" i="15"/>
  <c r="O688" i="15"/>
  <c r="I785" i="15"/>
  <c r="K785" i="15" s="1"/>
  <c r="K800" i="15"/>
  <c r="O806" i="15"/>
  <c r="L805" i="15"/>
  <c r="O805" i="15" s="1"/>
  <c r="P525" i="15"/>
  <c r="M523" i="15"/>
  <c r="P523" i="15" s="1"/>
  <c r="P738" i="15"/>
  <c r="M737" i="15"/>
  <c r="P737" i="15" s="1"/>
  <c r="P771" i="15"/>
  <c r="M770" i="15"/>
  <c r="P770" i="15" s="1"/>
  <c r="P788" i="15"/>
  <c r="M786" i="15"/>
  <c r="P786" i="15" s="1"/>
  <c r="K355" i="15"/>
  <c r="O479" i="15"/>
  <c r="L469" i="15"/>
  <c r="O524" i="15"/>
  <c r="K569" i="15"/>
  <c r="O787" i="15"/>
  <c r="L786" i="15"/>
  <c r="O786" i="15" s="1"/>
  <c r="O528" i="15"/>
  <c r="I654" i="15"/>
  <c r="K654" i="15" s="1"/>
  <c r="O791" i="15"/>
  <c r="K675" i="15"/>
  <c r="N657" i="15"/>
  <c r="N151" i="13"/>
  <c r="N149" i="13" s="1"/>
  <c r="L263" i="13"/>
  <c r="L261" i="13" s="1"/>
  <c r="K823" i="13"/>
  <c r="N47" i="14"/>
  <c r="N69" i="14"/>
  <c r="P93" i="14"/>
  <c r="L155" i="14"/>
  <c r="O155" i="14" s="1"/>
  <c r="L231" i="14"/>
  <c r="I276" i="14"/>
  <c r="K276" i="14" s="1"/>
  <c r="M317" i="14"/>
  <c r="O424" i="14"/>
  <c r="K539" i="14"/>
  <c r="K827" i="14"/>
  <c r="M47" i="12"/>
  <c r="P47" i="12" s="1"/>
  <c r="O549" i="13"/>
  <c r="L55" i="14"/>
  <c r="L53" i="14" s="1"/>
  <c r="M318" i="14"/>
  <c r="P318" i="14" s="1"/>
  <c r="O333" i="14"/>
  <c r="L525" i="14"/>
  <c r="O528" i="14"/>
  <c r="L267" i="12"/>
  <c r="O267" i="12" s="1"/>
  <c r="J143" i="13"/>
  <c r="J131" i="13" s="1"/>
  <c r="L688" i="13"/>
  <c r="O688" i="13" s="1"/>
  <c r="P58" i="14"/>
  <c r="O74" i="14"/>
  <c r="N167" i="14"/>
  <c r="N165" i="14" s="1"/>
  <c r="L249" i="14"/>
  <c r="O249" i="14" s="1"/>
  <c r="I297" i="14"/>
  <c r="K297" i="14" s="1"/>
  <c r="M300" i="14"/>
  <c r="P300" i="14" s="1"/>
  <c r="M330" i="14"/>
  <c r="M328" i="14" s="1"/>
  <c r="O394" i="14"/>
  <c r="L421" i="14"/>
  <c r="K822" i="14"/>
  <c r="L151" i="14"/>
  <c r="O151" i="14" s="1"/>
  <c r="P303" i="12"/>
  <c r="O264" i="13"/>
  <c r="N26" i="14"/>
  <c r="N16" i="14" s="1"/>
  <c r="N280" i="14"/>
  <c r="P280" i="14" s="1"/>
  <c r="P303" i="14"/>
  <c r="O353" i="14"/>
  <c r="K355" i="14"/>
  <c r="K374" i="14"/>
  <c r="O641" i="12"/>
  <c r="M55" i="14"/>
  <c r="M53" i="14" s="1"/>
  <c r="M59" i="14"/>
  <c r="P59" i="14" s="1"/>
  <c r="L122" i="14"/>
  <c r="O122" i="14" s="1"/>
  <c r="L217" i="14"/>
  <c r="O217" i="14" s="1"/>
  <c r="I260" i="14"/>
  <c r="K260" i="14" s="1"/>
  <c r="L264" i="14"/>
  <c r="M267" i="14"/>
  <c r="P267" i="14" s="1"/>
  <c r="J785" i="14"/>
  <c r="P61" i="12"/>
  <c r="K359" i="12"/>
  <c r="M90" i="13"/>
  <c r="M88" i="13" s="1"/>
  <c r="I216" i="13"/>
  <c r="K216" i="13" s="1"/>
  <c r="K365" i="13"/>
  <c r="L470" i="13"/>
  <c r="O470" i="13" s="1"/>
  <c r="M43" i="14"/>
  <c r="P46" i="14"/>
  <c r="N59" i="14"/>
  <c r="P91" i="14"/>
  <c r="L121" i="14"/>
  <c r="M152" i="14"/>
  <c r="O170" i="14"/>
  <c r="O285" i="14"/>
  <c r="L300" i="14"/>
  <c r="L304" i="14"/>
  <c r="O304" i="14" s="1"/>
  <c r="N317" i="14"/>
  <c r="N315" i="14" s="1"/>
  <c r="O350" i="14"/>
  <c r="L547" i="14"/>
  <c r="O547" i="14" s="1"/>
  <c r="L33" i="13"/>
  <c r="O33" i="13" s="1"/>
  <c r="L209" i="13"/>
  <c r="O209" i="13" s="1"/>
  <c r="K370" i="13"/>
  <c r="M404" i="13"/>
  <c r="P404" i="13" s="1"/>
  <c r="L47" i="14"/>
  <c r="O47" i="14" s="1"/>
  <c r="L68" i="14"/>
  <c r="O68" i="14" s="1"/>
  <c r="M94" i="14"/>
  <c r="P94" i="14" s="1"/>
  <c r="P96" i="14"/>
  <c r="M121" i="14"/>
  <c r="P121" i="14" s="1"/>
  <c r="M171" i="14"/>
  <c r="P171" i="14" s="1"/>
  <c r="P173" i="14"/>
  <c r="I197" i="14"/>
  <c r="K197" i="14" s="1"/>
  <c r="I208" i="14"/>
  <c r="K208" i="14" s="1"/>
  <c r="M263" i="14"/>
  <c r="M261" i="14" s="1"/>
  <c r="O266" i="14"/>
  <c r="P282" i="14"/>
  <c r="O449" i="14"/>
  <c r="O634" i="14"/>
  <c r="N43" i="13"/>
  <c r="N41" i="13" s="1"/>
  <c r="L23" i="14"/>
  <c r="L21" i="14" s="1"/>
  <c r="L33" i="14"/>
  <c r="L31" i="14" s="1"/>
  <c r="M68" i="14"/>
  <c r="P68" i="14" s="1"/>
  <c r="P71" i="14"/>
  <c r="N263" i="14"/>
  <c r="N261" i="14" s="1"/>
  <c r="O397" i="14"/>
  <c r="O350" i="11"/>
  <c r="M330" i="12"/>
  <c r="M328" i="12" s="1"/>
  <c r="I364" i="13"/>
  <c r="M56" i="14"/>
  <c r="N55" i="14"/>
  <c r="N53" i="14" s="1"/>
  <c r="L26" i="14"/>
  <c r="O93" i="14"/>
  <c r="M134" i="14"/>
  <c r="P134" i="14" s="1"/>
  <c r="P186" i="14"/>
  <c r="L301" i="14"/>
  <c r="O301" i="14" s="1"/>
  <c r="M321" i="14"/>
  <c r="P321" i="14" s="1"/>
  <c r="L446" i="14"/>
  <c r="L444" i="14" s="1"/>
  <c r="O444" i="14" s="1"/>
  <c r="O456" i="14"/>
  <c r="L631" i="14"/>
  <c r="L629" i="14" s="1"/>
  <c r="O629" i="14" s="1"/>
  <c r="O641" i="14"/>
  <c r="O791" i="14"/>
  <c r="M334" i="12"/>
  <c r="P334" i="12" s="1"/>
  <c r="O690" i="13"/>
  <c r="N56" i="14"/>
  <c r="I76" i="14"/>
  <c r="K76" i="14" s="1"/>
  <c r="M122" i="14"/>
  <c r="P122" i="14" s="1"/>
  <c r="N151" i="14"/>
  <c r="K176" i="14"/>
  <c r="M187" i="14"/>
  <c r="P187" i="14" s="1"/>
  <c r="I233" i="14"/>
  <c r="K233" i="14" s="1"/>
  <c r="L230" i="14"/>
  <c r="L267" i="14"/>
  <c r="O267" i="14" s="1"/>
  <c r="M279" i="14"/>
  <c r="K369" i="14"/>
  <c r="L391" i="14"/>
  <c r="O431" i="14"/>
  <c r="I434" i="14"/>
  <c r="K434" i="14" s="1"/>
  <c r="O470" i="14"/>
  <c r="K577" i="14"/>
  <c r="L788" i="14"/>
  <c r="K801" i="14"/>
  <c r="K823" i="14"/>
  <c r="K460" i="13"/>
  <c r="I442" i="13"/>
  <c r="K442" i="13" s="1"/>
  <c r="O266" i="12"/>
  <c r="N263" i="12"/>
  <c r="N261" i="12" s="1"/>
  <c r="K176" i="13"/>
  <c r="I174" i="13"/>
  <c r="K174" i="13" s="1"/>
  <c r="O306" i="13"/>
  <c r="L304" i="13"/>
  <c r="O304" i="13" s="1"/>
  <c r="I592" i="12"/>
  <c r="K592" i="12" s="1"/>
  <c r="K593" i="12"/>
  <c r="P12" i="14"/>
  <c r="M9" i="14"/>
  <c r="P29" i="14"/>
  <c r="L91" i="13"/>
  <c r="O91" i="13" s="1"/>
  <c r="L90" i="13"/>
  <c r="L88" i="13" s="1"/>
  <c r="M55" i="11"/>
  <c r="M53" i="11" s="1"/>
  <c r="I233" i="12"/>
  <c r="K233" i="12" s="1"/>
  <c r="K360" i="12"/>
  <c r="J721" i="12"/>
  <c r="P137" i="13"/>
  <c r="M183" i="13"/>
  <c r="M181" i="13" s="1"/>
  <c r="I297" i="13"/>
  <c r="K297" i="13" s="1"/>
  <c r="K372" i="13"/>
  <c r="I559" i="13"/>
  <c r="K559" i="13" s="1"/>
  <c r="K822" i="13"/>
  <c r="K828" i="13"/>
  <c r="M23" i="14"/>
  <c r="M31" i="14"/>
  <c r="P31" i="14" s="1"/>
  <c r="M47" i="14"/>
  <c r="P47" i="14" s="1"/>
  <c r="M26" i="14"/>
  <c r="K80" i="14"/>
  <c r="I86" i="14"/>
  <c r="K86" i="14" s="1"/>
  <c r="N134" i="14"/>
  <c r="N132" i="14" s="1"/>
  <c r="I148" i="14"/>
  <c r="K148" i="14" s="1"/>
  <c r="P262" i="14"/>
  <c r="J275" i="14"/>
  <c r="L334" i="14"/>
  <c r="O334" i="14" s="1"/>
  <c r="O336" i="14"/>
  <c r="L330" i="14"/>
  <c r="L328" i="14" s="1"/>
  <c r="K360" i="14"/>
  <c r="O656" i="14"/>
  <c r="L655" i="14"/>
  <c r="O655" i="14" s="1"/>
  <c r="I164" i="14"/>
  <c r="K164" i="14" s="1"/>
  <c r="K174" i="14"/>
  <c r="P630" i="14"/>
  <c r="M629" i="14"/>
  <c r="P629" i="14" s="1"/>
  <c r="I314" i="9"/>
  <c r="K314" i="9" s="1"/>
  <c r="K822" i="12"/>
  <c r="K828" i="12"/>
  <c r="L230" i="13"/>
  <c r="K338" i="13"/>
  <c r="O22" i="14"/>
  <c r="L19" i="14"/>
  <c r="L12" i="14"/>
  <c r="N23" i="14"/>
  <c r="N21" i="14" s="1"/>
  <c r="N31" i="14"/>
  <c r="O42" i="14"/>
  <c r="O67" i="14"/>
  <c r="L90" i="14"/>
  <c r="K144" i="14"/>
  <c r="J143" i="14"/>
  <c r="J131" i="14" s="1"/>
  <c r="N152" i="14"/>
  <c r="P154" i="14"/>
  <c r="L167" i="14"/>
  <c r="L198" i="14"/>
  <c r="O198" i="14" s="1"/>
  <c r="N264" i="14"/>
  <c r="P264" i="14" s="1"/>
  <c r="P266" i="14"/>
  <c r="L318" i="14"/>
  <c r="O318" i="14" s="1"/>
  <c r="O320" i="14"/>
  <c r="O351" i="14"/>
  <c r="N15" i="14"/>
  <c r="M30" i="14"/>
  <c r="P30" i="14" s="1"/>
  <c r="P32" i="14"/>
  <c r="P54" i="14"/>
  <c r="O58" i="14"/>
  <c r="L56" i="14"/>
  <c r="I87" i="14"/>
  <c r="K87" i="14" s="1"/>
  <c r="L94" i="14"/>
  <c r="O94" i="14" s="1"/>
  <c r="P120" i="14"/>
  <c r="P150" i="14"/>
  <c r="O173" i="14"/>
  <c r="L238" i="14"/>
  <c r="N300" i="14"/>
  <c r="N298" i="14" s="1"/>
  <c r="L321" i="14"/>
  <c r="O321" i="14" s="1"/>
  <c r="O323" i="14"/>
  <c r="P353" i="14"/>
  <c r="M351" i="14"/>
  <c r="P351" i="14" s="1"/>
  <c r="M347" i="14"/>
  <c r="M345" i="14" s="1"/>
  <c r="P503" i="14"/>
  <c r="M502" i="14"/>
  <c r="P502" i="14" s="1"/>
  <c r="N28" i="14"/>
  <c r="O61" i="14"/>
  <c r="L59" i="14"/>
  <c r="O59" i="14" s="1"/>
  <c r="N121" i="14"/>
  <c r="N119" i="14" s="1"/>
  <c r="L68" i="12"/>
  <c r="O68" i="12" s="1"/>
  <c r="N183" i="12"/>
  <c r="N181" i="12" s="1"/>
  <c r="L229" i="12"/>
  <c r="K647" i="12"/>
  <c r="L183" i="13"/>
  <c r="L181" i="13" s="1"/>
  <c r="P264" i="13"/>
  <c r="P407" i="13"/>
  <c r="N404" i="13"/>
  <c r="N402" i="13" s="1"/>
  <c r="L29" i="14"/>
  <c r="M34" i="14"/>
  <c r="P34" i="14" s="1"/>
  <c r="P49" i="14"/>
  <c r="P74" i="14"/>
  <c r="N90" i="14"/>
  <c r="K111" i="14"/>
  <c r="I112" i="14"/>
  <c r="K112" i="14" s="1"/>
  <c r="K115" i="14"/>
  <c r="P133" i="14"/>
  <c r="L184" i="14"/>
  <c r="O186" i="14"/>
  <c r="L187" i="14"/>
  <c r="O187" i="14" s="1"/>
  <c r="O189" i="14"/>
  <c r="P299" i="14"/>
  <c r="N391" i="14"/>
  <c r="N389" i="14" s="1"/>
  <c r="K628" i="11"/>
  <c r="P353" i="13"/>
  <c r="K359" i="13"/>
  <c r="K362" i="13"/>
  <c r="K821" i="13"/>
  <c r="K824" i="13"/>
  <c r="K827" i="13"/>
  <c r="K79" i="14"/>
  <c r="I77" i="14"/>
  <c r="J433" i="14"/>
  <c r="J417" i="14" s="1"/>
  <c r="I433" i="14"/>
  <c r="K435" i="14"/>
  <c r="M135" i="14"/>
  <c r="P135" i="14" s="1"/>
  <c r="M138" i="14"/>
  <c r="P138" i="14" s="1"/>
  <c r="N168" i="14"/>
  <c r="P168" i="14" s="1"/>
  <c r="N184" i="14"/>
  <c r="P184" i="14" s="1"/>
  <c r="O278" i="14"/>
  <c r="P329" i="14"/>
  <c r="K340" i="14"/>
  <c r="M419" i="14"/>
  <c r="K621" i="14"/>
  <c r="N629" i="14"/>
  <c r="N414" i="14" s="1"/>
  <c r="N658" i="14"/>
  <c r="O690" i="14"/>
  <c r="L687" i="14"/>
  <c r="L688" i="14"/>
  <c r="O688" i="14" s="1"/>
  <c r="N331" i="14"/>
  <c r="P331" i="14" s="1"/>
  <c r="P333" i="14"/>
  <c r="N348" i="14"/>
  <c r="P348" i="14" s="1"/>
  <c r="P350" i="14"/>
  <c r="M404" i="14"/>
  <c r="L405" i="14"/>
  <c r="O405" i="14" s="1"/>
  <c r="O407" i="14"/>
  <c r="K592" i="14"/>
  <c r="O403" i="14"/>
  <c r="L408" i="14"/>
  <c r="O408" i="14" s="1"/>
  <c r="O410" i="14"/>
  <c r="N444" i="14"/>
  <c r="P468" i="14"/>
  <c r="M467" i="14"/>
  <c r="P467" i="14" s="1"/>
  <c r="I559" i="14"/>
  <c r="K576" i="14"/>
  <c r="I654" i="14"/>
  <c r="K654" i="14" s="1"/>
  <c r="K674" i="14"/>
  <c r="K673" i="14"/>
  <c r="K669" i="14"/>
  <c r="K672" i="14"/>
  <c r="K675" i="14"/>
  <c r="P807" i="14"/>
  <c r="M805" i="14"/>
  <c r="P805" i="14" s="1"/>
  <c r="K225" i="14"/>
  <c r="N330" i="14"/>
  <c r="N328" i="14" s="1"/>
  <c r="N347" i="14"/>
  <c r="M405" i="14"/>
  <c r="P405" i="14" s="1"/>
  <c r="L546" i="14"/>
  <c r="P555" i="14"/>
  <c r="M545" i="14"/>
  <c r="K593" i="14"/>
  <c r="L658" i="14"/>
  <c r="O658" i="14" s="1"/>
  <c r="O660" i="14"/>
  <c r="O806" i="14"/>
  <c r="L805" i="14"/>
  <c r="O805" i="14" s="1"/>
  <c r="I275" i="14"/>
  <c r="I364" i="14"/>
  <c r="K365" i="14"/>
  <c r="M408" i="14"/>
  <c r="P408" i="14" s="1"/>
  <c r="K560" i="14"/>
  <c r="I628" i="14"/>
  <c r="K628" i="14" s="1"/>
  <c r="K651" i="14"/>
  <c r="P657" i="14"/>
  <c r="M655" i="14"/>
  <c r="P655" i="14" s="1"/>
  <c r="P394" i="14"/>
  <c r="P397" i="14"/>
  <c r="P56" i="13"/>
  <c r="M263" i="13"/>
  <c r="M261" i="13" s="1"/>
  <c r="M69" i="12"/>
  <c r="P69" i="12" s="1"/>
  <c r="N264" i="12"/>
  <c r="N279" i="12"/>
  <c r="N277" i="12" s="1"/>
  <c r="K340" i="12"/>
  <c r="K537" i="12"/>
  <c r="P93" i="13"/>
  <c r="M122" i="13"/>
  <c r="P122" i="13" s="1"/>
  <c r="N152" i="13"/>
  <c r="P152" i="13" s="1"/>
  <c r="N167" i="13"/>
  <c r="N165" i="13" s="1"/>
  <c r="N331" i="13"/>
  <c r="K378" i="13"/>
  <c r="K381" i="13"/>
  <c r="N391" i="13"/>
  <c r="N389" i="13" s="1"/>
  <c r="N408" i="13"/>
  <c r="L546" i="13"/>
  <c r="O546" i="13" s="1"/>
  <c r="L789" i="4"/>
  <c r="O789" i="4" s="1"/>
  <c r="L526" i="8"/>
  <c r="O526" i="8" s="1"/>
  <c r="P58" i="13"/>
  <c r="L69" i="13"/>
  <c r="O69" i="13" s="1"/>
  <c r="L134" i="13"/>
  <c r="O134" i="13" s="1"/>
  <c r="I148" i="13"/>
  <c r="K148" i="13" s="1"/>
  <c r="L267" i="13"/>
  <c r="O267" i="13" s="1"/>
  <c r="N279" i="13"/>
  <c r="N277" i="13" s="1"/>
  <c r="M283" i="13"/>
  <c r="P283" i="13" s="1"/>
  <c r="O285" i="13"/>
  <c r="L300" i="13"/>
  <c r="P71" i="13"/>
  <c r="L238" i="13"/>
  <c r="O238" i="13" s="1"/>
  <c r="I260" i="13"/>
  <c r="K260" i="13" s="1"/>
  <c r="P269" i="13"/>
  <c r="L301" i="13"/>
  <c r="O301" i="13" s="1"/>
  <c r="K340" i="13"/>
  <c r="O353" i="13"/>
  <c r="L447" i="13"/>
  <c r="O447" i="13" s="1"/>
  <c r="I628" i="13"/>
  <c r="K628" i="13" s="1"/>
  <c r="K673" i="13"/>
  <c r="L547" i="8"/>
  <c r="O547" i="8" s="1"/>
  <c r="N167" i="12"/>
  <c r="N165" i="12" s="1"/>
  <c r="O348" i="12"/>
  <c r="O350" i="12"/>
  <c r="O137" i="13"/>
  <c r="I208" i="13"/>
  <c r="K208" i="13" s="1"/>
  <c r="O333" i="13"/>
  <c r="K379" i="13"/>
  <c r="K338" i="12"/>
  <c r="P91" i="13"/>
  <c r="M187" i="13"/>
  <c r="P187" i="13" s="1"/>
  <c r="I197" i="13"/>
  <c r="K197" i="13" s="1"/>
  <c r="N318" i="13"/>
  <c r="K385" i="13"/>
  <c r="K435" i="13"/>
  <c r="J433" i="13"/>
  <c r="I433" i="13"/>
  <c r="I417" i="13" s="1"/>
  <c r="M317" i="10"/>
  <c r="P317" i="10" s="1"/>
  <c r="N59" i="12"/>
  <c r="O59" i="12" s="1"/>
  <c r="L318" i="12"/>
  <c r="O318" i="12" s="1"/>
  <c r="N44" i="13"/>
  <c r="O44" i="13" s="1"/>
  <c r="O46" i="13"/>
  <c r="M59" i="13"/>
  <c r="P59" i="13" s="1"/>
  <c r="N26" i="13"/>
  <c r="N69" i="13"/>
  <c r="I130" i="13"/>
  <c r="K130" i="13" s="1"/>
  <c r="K146" i="13"/>
  <c r="P173" i="13"/>
  <c r="M171" i="13"/>
  <c r="P171" i="13" s="1"/>
  <c r="L229" i="13"/>
  <c r="P303" i="13"/>
  <c r="M300" i="13"/>
  <c r="P300" i="13" s="1"/>
  <c r="P397" i="13"/>
  <c r="M395" i="13"/>
  <c r="P395" i="13" s="1"/>
  <c r="O407" i="13"/>
  <c r="L404" i="13"/>
  <c r="L405" i="13"/>
  <c r="O405" i="13" s="1"/>
  <c r="J785" i="11"/>
  <c r="K98" i="12"/>
  <c r="I208" i="12"/>
  <c r="K208" i="12" s="1"/>
  <c r="M351" i="12"/>
  <c r="I443" i="12"/>
  <c r="K443" i="12" s="1"/>
  <c r="P46" i="13"/>
  <c r="N59" i="13"/>
  <c r="O140" i="13"/>
  <c r="L138" i="13"/>
  <c r="O138" i="13" s="1"/>
  <c r="L318" i="13"/>
  <c r="O318" i="13" s="1"/>
  <c r="L317" i="13"/>
  <c r="O317" i="13" s="1"/>
  <c r="P394" i="13"/>
  <c r="M391" i="13"/>
  <c r="P391" i="13" s="1"/>
  <c r="M321" i="12"/>
  <c r="P321" i="12" s="1"/>
  <c r="M23" i="13"/>
  <c r="M21" i="13" s="1"/>
  <c r="L26" i="13"/>
  <c r="L24" i="13" s="1"/>
  <c r="L43" i="13"/>
  <c r="L47" i="13"/>
  <c r="O47" i="13" s="1"/>
  <c r="M55" i="13"/>
  <c r="M53" i="13" s="1"/>
  <c r="L68" i="13"/>
  <c r="O68" i="13" s="1"/>
  <c r="L72" i="13"/>
  <c r="O72" i="13" s="1"/>
  <c r="M138" i="13"/>
  <c r="P138" i="13" s="1"/>
  <c r="M134" i="13"/>
  <c r="M132" i="13" s="1"/>
  <c r="P132" i="13" s="1"/>
  <c r="M167" i="13"/>
  <c r="M165" i="13" s="1"/>
  <c r="L228" i="13"/>
  <c r="M301" i="13"/>
  <c r="P301" i="13" s="1"/>
  <c r="L429" i="13"/>
  <c r="O429" i="13" s="1"/>
  <c r="O431" i="13"/>
  <c r="L125" i="12"/>
  <c r="O125" i="12" s="1"/>
  <c r="L152" i="12"/>
  <c r="O152" i="12" s="1"/>
  <c r="O157" i="12"/>
  <c r="N55" i="13"/>
  <c r="N53" i="13" s="1"/>
  <c r="P96" i="13"/>
  <c r="M94" i="13"/>
  <c r="P94" i="13" s="1"/>
  <c r="L122" i="13"/>
  <c r="O122" i="13" s="1"/>
  <c r="L121" i="13"/>
  <c r="L152" i="13"/>
  <c r="L151" i="13"/>
  <c r="L149" i="13" s="1"/>
  <c r="O282" i="13"/>
  <c r="L279" i="13"/>
  <c r="L277" i="13" s="1"/>
  <c r="O277" i="13" s="1"/>
  <c r="L280" i="13"/>
  <c r="O280" i="13" s="1"/>
  <c r="O350" i="13"/>
  <c r="L348" i="13"/>
  <c r="O348" i="13" s="1"/>
  <c r="M392" i="13"/>
  <c r="P392" i="13" s="1"/>
  <c r="L525" i="13"/>
  <c r="O525" i="13" s="1"/>
  <c r="K675" i="13"/>
  <c r="K672" i="13"/>
  <c r="K669" i="13"/>
  <c r="I654" i="13"/>
  <c r="K654" i="13" s="1"/>
  <c r="O96" i="12"/>
  <c r="I174" i="12"/>
  <c r="K174" i="12" s="1"/>
  <c r="I216" i="12"/>
  <c r="K216" i="12" s="1"/>
  <c r="K362" i="12"/>
  <c r="K385" i="12"/>
  <c r="K651" i="12"/>
  <c r="L198" i="13"/>
  <c r="O198" i="13" s="1"/>
  <c r="L249" i="13"/>
  <c r="O249" i="13" s="1"/>
  <c r="I276" i="13"/>
  <c r="K276" i="13" s="1"/>
  <c r="M279" i="13"/>
  <c r="P282" i="13"/>
  <c r="M280" i="13"/>
  <c r="P280" i="13" s="1"/>
  <c r="K325" i="13"/>
  <c r="L639" i="13"/>
  <c r="O639" i="13" s="1"/>
  <c r="O641" i="13"/>
  <c r="N347" i="13"/>
  <c r="N345" i="13" s="1"/>
  <c r="P350" i="13"/>
  <c r="P410" i="13"/>
  <c r="N23" i="13"/>
  <c r="N13" i="13" s="1"/>
  <c r="K374" i="13"/>
  <c r="L217" i="13"/>
  <c r="O217" i="13" s="1"/>
  <c r="I233" i="13"/>
  <c r="K233" i="13" s="1"/>
  <c r="M321" i="13"/>
  <c r="P321" i="13" s="1"/>
  <c r="L331" i="13"/>
  <c r="L351" i="13"/>
  <c r="O351" i="13" s="1"/>
  <c r="O170" i="13"/>
  <c r="O323" i="13"/>
  <c r="L334" i="13"/>
  <c r="O334" i="13" s="1"/>
  <c r="K355" i="13"/>
  <c r="K360" i="13"/>
  <c r="K369" i="13"/>
  <c r="J537" i="13"/>
  <c r="J522" i="13" s="1"/>
  <c r="L657" i="13"/>
  <c r="J722" i="13"/>
  <c r="N28" i="13"/>
  <c r="O35" i="13"/>
  <c r="P186" i="13"/>
  <c r="N184" i="13"/>
  <c r="P184" i="13" s="1"/>
  <c r="N300" i="10"/>
  <c r="N298" i="10" s="1"/>
  <c r="M167" i="11"/>
  <c r="M165" i="11" s="1"/>
  <c r="M263" i="11"/>
  <c r="M261" i="11" s="1"/>
  <c r="M134" i="12"/>
  <c r="M132" i="12" s="1"/>
  <c r="K244" i="12"/>
  <c r="K378" i="12"/>
  <c r="K374" i="12"/>
  <c r="M408" i="12"/>
  <c r="P408" i="12" s="1"/>
  <c r="O535" i="12"/>
  <c r="L12" i="13"/>
  <c r="L19" i="13"/>
  <c r="O22" i="13"/>
  <c r="M26" i="13"/>
  <c r="M24" i="13" s="1"/>
  <c r="P54" i="13"/>
  <c r="L56" i="13"/>
  <c r="O56" i="13" s="1"/>
  <c r="O58" i="13"/>
  <c r="I87" i="13"/>
  <c r="K87" i="13" s="1"/>
  <c r="L94" i="13"/>
  <c r="O94" i="13" s="1"/>
  <c r="P124" i="13"/>
  <c r="O150" i="13"/>
  <c r="P154" i="13"/>
  <c r="L168" i="13"/>
  <c r="P182" i="13"/>
  <c r="L187" i="13"/>
  <c r="O187" i="13" s="1"/>
  <c r="P320" i="13"/>
  <c r="M318" i="13"/>
  <c r="P318" i="13" s="1"/>
  <c r="M317" i="13"/>
  <c r="P317" i="13" s="1"/>
  <c r="M351" i="13"/>
  <c r="P351" i="13" s="1"/>
  <c r="O420" i="13"/>
  <c r="O456" i="13"/>
  <c r="K462" i="13"/>
  <c r="P545" i="13"/>
  <c r="M544" i="13"/>
  <c r="P544" i="13" s="1"/>
  <c r="O787" i="13"/>
  <c r="L786" i="13"/>
  <c r="O786" i="13" s="1"/>
  <c r="L230" i="11"/>
  <c r="I77" i="12"/>
  <c r="I65" i="12" s="1"/>
  <c r="K65" i="12" s="1"/>
  <c r="M135" i="12"/>
  <c r="P135" i="12" s="1"/>
  <c r="M304" i="12"/>
  <c r="P304" i="12" s="1"/>
  <c r="I314" i="12"/>
  <c r="K314" i="12" s="1"/>
  <c r="P350" i="12"/>
  <c r="I364" i="12"/>
  <c r="M12" i="13"/>
  <c r="M19" i="13"/>
  <c r="M31" i="13"/>
  <c r="P31" i="13" s="1"/>
  <c r="P49" i="13"/>
  <c r="P74" i="13"/>
  <c r="N90" i="13"/>
  <c r="O133" i="13"/>
  <c r="P140" i="13"/>
  <c r="K145" i="13"/>
  <c r="P170" i="13"/>
  <c r="N168" i="13"/>
  <c r="P168" i="13" s="1"/>
  <c r="K193" i="13"/>
  <c r="K255" i="13"/>
  <c r="J327" i="13"/>
  <c r="K327" i="13" s="1"/>
  <c r="N525" i="13"/>
  <c r="N523" i="13" s="1"/>
  <c r="N526" i="13"/>
  <c r="J327" i="12"/>
  <c r="K327" i="12" s="1"/>
  <c r="N12" i="13"/>
  <c r="L23" i="13"/>
  <c r="M34" i="13"/>
  <c r="P34" i="13" s="1"/>
  <c r="M43" i="13"/>
  <c r="M68" i="13"/>
  <c r="I76" i="13"/>
  <c r="K79" i="13"/>
  <c r="I77" i="13"/>
  <c r="O93" i="13"/>
  <c r="K115" i="13"/>
  <c r="I112" i="13"/>
  <c r="K112" i="13" s="1"/>
  <c r="N121" i="13"/>
  <c r="N119" i="13" s="1"/>
  <c r="P127" i="13"/>
  <c r="I143" i="13"/>
  <c r="M151" i="13"/>
  <c r="P157" i="13"/>
  <c r="P166" i="13"/>
  <c r="L171" i="13"/>
  <c r="O171" i="13" s="1"/>
  <c r="M347" i="13"/>
  <c r="O394" i="13"/>
  <c r="L391" i="13"/>
  <c r="O391" i="13" s="1"/>
  <c r="L392" i="13"/>
  <c r="O392" i="13" s="1"/>
  <c r="O738" i="13"/>
  <c r="L737" i="13"/>
  <c r="O737" i="13" s="1"/>
  <c r="I130" i="11"/>
  <c r="K130" i="11" s="1"/>
  <c r="L134" i="11"/>
  <c r="L132" i="11" s="1"/>
  <c r="L23" i="12"/>
  <c r="L21" i="12" s="1"/>
  <c r="I237" i="12"/>
  <c r="K237" i="12" s="1"/>
  <c r="L15" i="13"/>
  <c r="L29" i="13"/>
  <c r="L36" i="13"/>
  <c r="O36" i="13" s="1"/>
  <c r="L59" i="13"/>
  <c r="O59" i="13" s="1"/>
  <c r="O61" i="13"/>
  <c r="P120" i="13"/>
  <c r="L167" i="13"/>
  <c r="N183" i="13"/>
  <c r="O186" i="13"/>
  <c r="N304" i="13"/>
  <c r="N300" i="13"/>
  <c r="N298" i="13" s="1"/>
  <c r="M330" i="13"/>
  <c r="P333" i="13"/>
  <c r="O346" i="13"/>
  <c r="O424" i="13"/>
  <c r="L421" i="13"/>
  <c r="L419" i="13" s="1"/>
  <c r="P738" i="13"/>
  <c r="M737" i="13"/>
  <c r="P737" i="13" s="1"/>
  <c r="N68" i="12"/>
  <c r="N66" i="12" s="1"/>
  <c r="I148" i="12"/>
  <c r="K148" i="12" s="1"/>
  <c r="L321" i="12"/>
  <c r="O321" i="12" s="1"/>
  <c r="K465" i="12"/>
  <c r="L525" i="12"/>
  <c r="O525" i="12" s="1"/>
  <c r="K649" i="12"/>
  <c r="I86" i="13"/>
  <c r="K86" i="13" s="1"/>
  <c r="P150" i="13"/>
  <c r="L184" i="13"/>
  <c r="M331" i="13"/>
  <c r="O390" i="13"/>
  <c r="P421" i="13"/>
  <c r="M419" i="13"/>
  <c r="N421" i="13"/>
  <c r="N422" i="13"/>
  <c r="O422" i="13" s="1"/>
  <c r="I434" i="13"/>
  <c r="O124" i="13"/>
  <c r="O127" i="13"/>
  <c r="O154" i="13"/>
  <c r="O157" i="13"/>
  <c r="O320" i="13"/>
  <c r="L330" i="13"/>
  <c r="J364" i="13"/>
  <c r="O479" i="13"/>
  <c r="L469" i="13"/>
  <c r="O524" i="13"/>
  <c r="L631" i="13"/>
  <c r="O631" i="13" s="1"/>
  <c r="N737" i="13"/>
  <c r="N419" i="13"/>
  <c r="N414" i="13" s="1"/>
  <c r="P771" i="13"/>
  <c r="M770" i="13"/>
  <c r="P770" i="13" s="1"/>
  <c r="L789" i="13"/>
  <c r="O789" i="13" s="1"/>
  <c r="O791" i="13"/>
  <c r="I785" i="13"/>
  <c r="K785" i="13" s="1"/>
  <c r="K800" i="13"/>
  <c r="I237" i="13"/>
  <c r="O266" i="13"/>
  <c r="M334" i="13"/>
  <c r="P334" i="13" s="1"/>
  <c r="M348" i="13"/>
  <c r="P348" i="13" s="1"/>
  <c r="L395" i="13"/>
  <c r="O395" i="13" s="1"/>
  <c r="L446" i="13"/>
  <c r="O446" i="13" s="1"/>
  <c r="L632" i="13"/>
  <c r="O632" i="13" s="1"/>
  <c r="N770" i="13"/>
  <c r="O806" i="13"/>
  <c r="L805" i="13"/>
  <c r="O805" i="13" s="1"/>
  <c r="N263" i="13"/>
  <c r="P266" i="13"/>
  <c r="L526" i="13"/>
  <c r="O526" i="13" s="1"/>
  <c r="O528" i="13"/>
  <c r="O686" i="13"/>
  <c r="L685" i="13"/>
  <c r="O685" i="13" s="1"/>
  <c r="P755" i="13"/>
  <c r="M754" i="13"/>
  <c r="P754" i="13" s="1"/>
  <c r="N808" i="13"/>
  <c r="N505" i="13"/>
  <c r="M523" i="13"/>
  <c r="P523" i="13" s="1"/>
  <c r="M685" i="13"/>
  <c r="P685" i="13" s="1"/>
  <c r="M786" i="13"/>
  <c r="P786" i="13" s="1"/>
  <c r="M805" i="13"/>
  <c r="P805" i="13" s="1"/>
  <c r="M444" i="13"/>
  <c r="P444" i="13" s="1"/>
  <c r="L502" i="13"/>
  <c r="O502" i="13" s="1"/>
  <c r="K537" i="13"/>
  <c r="K593" i="13"/>
  <c r="M629" i="13"/>
  <c r="P629" i="13" s="1"/>
  <c r="N330" i="10"/>
  <c r="N328" i="10" s="1"/>
  <c r="J721" i="11"/>
  <c r="K721" i="11" s="1"/>
  <c r="N69" i="12"/>
  <c r="M90" i="12"/>
  <c r="M88" i="12" s="1"/>
  <c r="O189" i="12"/>
  <c r="N317" i="12"/>
  <c r="N315" i="12" s="1"/>
  <c r="M391" i="12"/>
  <c r="M404" i="12"/>
  <c r="M402" i="12" s="1"/>
  <c r="P402" i="12" s="1"/>
  <c r="P407" i="12"/>
  <c r="I559" i="12"/>
  <c r="I543" i="12" s="1"/>
  <c r="K543" i="12" s="1"/>
  <c r="P152" i="11"/>
  <c r="I233" i="11"/>
  <c r="K233" i="11" s="1"/>
  <c r="L43" i="12"/>
  <c r="L41" i="12" s="1"/>
  <c r="L90" i="12"/>
  <c r="L88" i="12" s="1"/>
  <c r="I112" i="12"/>
  <c r="K112" i="12" s="1"/>
  <c r="M348" i="12"/>
  <c r="P348" i="12" s="1"/>
  <c r="P394" i="12"/>
  <c r="I433" i="12"/>
  <c r="I417" i="12" s="1"/>
  <c r="K674" i="12"/>
  <c r="L187" i="10"/>
  <c r="O187" i="10" s="1"/>
  <c r="L26" i="12"/>
  <c r="O58" i="12"/>
  <c r="L91" i="12"/>
  <c r="L151" i="12"/>
  <c r="O151" i="12" s="1"/>
  <c r="L279" i="12"/>
  <c r="L395" i="12"/>
  <c r="O395" i="12" s="1"/>
  <c r="O56" i="9"/>
  <c r="O168" i="11"/>
  <c r="N26" i="12"/>
  <c r="N16" i="12" s="1"/>
  <c r="P331" i="12"/>
  <c r="L334" i="12"/>
  <c r="O334" i="12" s="1"/>
  <c r="O549" i="12"/>
  <c r="K726" i="11"/>
  <c r="L198" i="12"/>
  <c r="O198" i="12" s="1"/>
  <c r="L209" i="12"/>
  <c r="O209" i="12" s="1"/>
  <c r="K288" i="12"/>
  <c r="L688" i="12"/>
  <c r="O688" i="12" s="1"/>
  <c r="K821" i="12"/>
  <c r="K824" i="12"/>
  <c r="K827" i="12"/>
  <c r="O456" i="12"/>
  <c r="L454" i="12"/>
  <c r="O454" i="12" s="1"/>
  <c r="K369" i="10"/>
  <c r="K385" i="10"/>
  <c r="L47" i="11"/>
  <c r="O47" i="11" s="1"/>
  <c r="O152" i="11"/>
  <c r="L279" i="11"/>
  <c r="L277" i="11" s="1"/>
  <c r="K360" i="11"/>
  <c r="K369" i="11"/>
  <c r="K372" i="11"/>
  <c r="I434" i="11"/>
  <c r="K434" i="11" s="1"/>
  <c r="N23" i="12"/>
  <c r="N47" i="12"/>
  <c r="P56" i="12"/>
  <c r="P74" i="12"/>
  <c r="M72" i="12"/>
  <c r="P72" i="12" s="1"/>
  <c r="N121" i="12"/>
  <c r="N119" i="12" s="1"/>
  <c r="M121" i="12"/>
  <c r="P121" i="12" s="1"/>
  <c r="M167" i="12"/>
  <c r="L167" i="12"/>
  <c r="N184" i="12"/>
  <c r="O184" i="12" s="1"/>
  <c r="O186" i="12"/>
  <c r="O353" i="12"/>
  <c r="L347" i="12"/>
  <c r="L345" i="12" s="1"/>
  <c r="L526" i="10"/>
  <c r="O526" i="10" s="1"/>
  <c r="L122" i="12"/>
  <c r="O122" i="12" s="1"/>
  <c r="L121" i="12"/>
  <c r="O121" i="12" s="1"/>
  <c r="M279" i="12"/>
  <c r="O333" i="12"/>
  <c r="L331" i="12"/>
  <c r="O331" i="12" s="1"/>
  <c r="L408" i="12"/>
  <c r="O408" i="12" s="1"/>
  <c r="O410" i="12"/>
  <c r="L230" i="10"/>
  <c r="M283" i="12"/>
  <c r="P283" i="12" s="1"/>
  <c r="L405" i="12"/>
  <c r="O405" i="12" s="1"/>
  <c r="L404" i="12"/>
  <c r="M151" i="11"/>
  <c r="M149" i="11" s="1"/>
  <c r="L36" i="12"/>
  <c r="K79" i="12"/>
  <c r="O124" i="12"/>
  <c r="O168" i="12"/>
  <c r="I190" i="12"/>
  <c r="K190" i="12" s="1"/>
  <c r="L228" i="12"/>
  <c r="L249" i="12"/>
  <c r="O249" i="12" s="1"/>
  <c r="K287" i="12"/>
  <c r="I276" i="12"/>
  <c r="K276" i="12" s="1"/>
  <c r="P333" i="12"/>
  <c r="J722" i="12"/>
  <c r="L55" i="12"/>
  <c r="L56" i="12"/>
  <c r="O56" i="12" s="1"/>
  <c r="N279" i="10"/>
  <c r="I314" i="10"/>
  <c r="K314" i="10" s="1"/>
  <c r="L72" i="11"/>
  <c r="O72" i="11" s="1"/>
  <c r="M155" i="11"/>
  <c r="P155" i="11" s="1"/>
  <c r="O170" i="11"/>
  <c r="M187" i="11"/>
  <c r="P187" i="11" s="1"/>
  <c r="O424" i="11"/>
  <c r="K466" i="11"/>
  <c r="M23" i="12"/>
  <c r="M21" i="12" s="1"/>
  <c r="P46" i="12"/>
  <c r="P58" i="12"/>
  <c r="P140" i="12"/>
  <c r="M138" i="12"/>
  <c r="P138" i="12" s="1"/>
  <c r="N152" i="12"/>
  <c r="N151" i="12"/>
  <c r="N149" i="12" s="1"/>
  <c r="O170" i="12"/>
  <c r="M183" i="12"/>
  <c r="L183" i="12"/>
  <c r="I260" i="12"/>
  <c r="K260" i="12" s="1"/>
  <c r="L264" i="12"/>
  <c r="L263" i="12"/>
  <c r="L33" i="12"/>
  <c r="O472" i="12"/>
  <c r="P58" i="11"/>
  <c r="O137" i="11"/>
  <c r="L228" i="11"/>
  <c r="N43" i="12"/>
  <c r="N41" i="12" s="1"/>
  <c r="O61" i="12"/>
  <c r="O173" i="12"/>
  <c r="L217" i="12"/>
  <c r="O217" i="12" s="1"/>
  <c r="O301" i="12"/>
  <c r="O303" i="12"/>
  <c r="N304" i="12"/>
  <c r="N300" i="12"/>
  <c r="N298" i="12" s="1"/>
  <c r="K370" i="12"/>
  <c r="K381" i="12"/>
  <c r="P397" i="12"/>
  <c r="O407" i="12"/>
  <c r="L555" i="12"/>
  <c r="O555" i="12" s="1"/>
  <c r="O557" i="12"/>
  <c r="L546" i="12"/>
  <c r="M68" i="12"/>
  <c r="P68" i="12" s="1"/>
  <c r="O93" i="12"/>
  <c r="L231" i="12"/>
  <c r="L230" i="12"/>
  <c r="K379" i="12"/>
  <c r="L657" i="12"/>
  <c r="O660" i="12"/>
  <c r="K669" i="12"/>
  <c r="L631" i="12"/>
  <c r="L629" i="12" s="1"/>
  <c r="O629" i="12" s="1"/>
  <c r="L687" i="12"/>
  <c r="O687" i="12" s="1"/>
  <c r="O140" i="12"/>
  <c r="P170" i="12"/>
  <c r="P186" i="12"/>
  <c r="L238" i="12"/>
  <c r="K369" i="12"/>
  <c r="J364" i="12"/>
  <c r="L429" i="12"/>
  <c r="O429" i="12" s="1"/>
  <c r="L446" i="12"/>
  <c r="O446" i="12" s="1"/>
  <c r="K672" i="12"/>
  <c r="K823" i="12"/>
  <c r="K673" i="12"/>
  <c r="O44" i="11"/>
  <c r="P29" i="12"/>
  <c r="M267" i="12"/>
  <c r="P267" i="12" s="1"/>
  <c r="P269" i="12"/>
  <c r="N391" i="11"/>
  <c r="N389" i="11" s="1"/>
  <c r="L43" i="11"/>
  <c r="L41" i="11" s="1"/>
  <c r="M121" i="11"/>
  <c r="P121" i="11" s="1"/>
  <c r="L183" i="11"/>
  <c r="L181" i="11" s="1"/>
  <c r="I248" i="11"/>
  <c r="K248" i="11" s="1"/>
  <c r="O264" i="11"/>
  <c r="M395" i="11"/>
  <c r="P395" i="11" s="1"/>
  <c r="L421" i="11"/>
  <c r="O421" i="11" s="1"/>
  <c r="K594" i="11"/>
  <c r="L12" i="12"/>
  <c r="P22" i="12"/>
  <c r="N31" i="12"/>
  <c r="O46" i="12"/>
  <c r="L44" i="12"/>
  <c r="O44" i="12" s="1"/>
  <c r="P67" i="12"/>
  <c r="O71" i="12"/>
  <c r="L69" i="12"/>
  <c r="O69" i="12" s="1"/>
  <c r="N91" i="12"/>
  <c r="P93" i="12"/>
  <c r="M91" i="12"/>
  <c r="N134" i="12"/>
  <c r="O137" i="12"/>
  <c r="K144" i="12"/>
  <c r="J143" i="12"/>
  <c r="J131" i="12" s="1"/>
  <c r="K372" i="12"/>
  <c r="O686" i="12"/>
  <c r="I87" i="11"/>
  <c r="K87" i="11" s="1"/>
  <c r="M122" i="11"/>
  <c r="P122" i="11" s="1"/>
  <c r="I237" i="11"/>
  <c r="K237" i="11" s="1"/>
  <c r="N317" i="11"/>
  <c r="N315" i="11" s="1"/>
  <c r="M12" i="12"/>
  <c r="M31" i="12"/>
  <c r="P31" i="12" s="1"/>
  <c r="P32" i="12"/>
  <c r="O120" i="12"/>
  <c r="P133" i="12"/>
  <c r="K145" i="12"/>
  <c r="I143" i="12"/>
  <c r="O150" i="12"/>
  <c r="M263" i="12"/>
  <c r="O394" i="12"/>
  <c r="L391" i="12"/>
  <c r="I364" i="10"/>
  <c r="N26" i="11"/>
  <c r="N16" i="11" s="1"/>
  <c r="N14" i="11" s="1"/>
  <c r="M56" i="11"/>
  <c r="P56" i="11" s="1"/>
  <c r="N68" i="11"/>
  <c r="N66" i="11" s="1"/>
  <c r="L125" i="11"/>
  <c r="O125" i="11" s="1"/>
  <c r="O189" i="11"/>
  <c r="M300" i="11"/>
  <c r="M298" i="11" s="1"/>
  <c r="K379" i="11"/>
  <c r="K651" i="11"/>
  <c r="K803" i="11"/>
  <c r="N15" i="12"/>
  <c r="M19" i="12"/>
  <c r="M26" i="12"/>
  <c r="M24" i="12" s="1"/>
  <c r="M122" i="12"/>
  <c r="P122" i="12" s="1"/>
  <c r="P124" i="12"/>
  <c r="M152" i="12"/>
  <c r="P154" i="12"/>
  <c r="K255" i="12"/>
  <c r="I248" i="12"/>
  <c r="O262" i="12"/>
  <c r="P278" i="12"/>
  <c r="N280" i="12"/>
  <c r="O280" i="12" s="1"/>
  <c r="P282" i="12"/>
  <c r="P320" i="12"/>
  <c r="M317" i="12"/>
  <c r="P317" i="12" s="1"/>
  <c r="L392" i="12"/>
  <c r="O392" i="12" s="1"/>
  <c r="N19" i="12"/>
  <c r="O25" i="12"/>
  <c r="L15" i="12"/>
  <c r="P33" i="12"/>
  <c r="M30" i="12"/>
  <c r="P30" i="12" s="1"/>
  <c r="O49" i="12"/>
  <c r="L47" i="12"/>
  <c r="O47" i="12" s="1"/>
  <c r="O74" i="12"/>
  <c r="L72" i="12"/>
  <c r="O72" i="12" s="1"/>
  <c r="N90" i="12"/>
  <c r="M264" i="12"/>
  <c r="P266" i="12"/>
  <c r="K365" i="12"/>
  <c r="K374" i="10"/>
  <c r="P184" i="11"/>
  <c r="K204" i="11"/>
  <c r="M301" i="11"/>
  <c r="P301" i="11" s="1"/>
  <c r="K359" i="11"/>
  <c r="N404" i="11"/>
  <c r="N402" i="11" s="1"/>
  <c r="M408" i="11"/>
  <c r="P408" i="11" s="1"/>
  <c r="K569" i="11"/>
  <c r="J722" i="11"/>
  <c r="K722" i="11" s="1"/>
  <c r="K823" i="11"/>
  <c r="K826" i="11"/>
  <c r="O32" i="12"/>
  <c r="L29" i="12"/>
  <c r="M43" i="12"/>
  <c r="M55" i="12"/>
  <c r="I76" i="12"/>
  <c r="P96" i="12"/>
  <c r="M94" i="12"/>
  <c r="P94" i="12" s="1"/>
  <c r="K99" i="12"/>
  <c r="M125" i="12"/>
  <c r="P125" i="12" s="1"/>
  <c r="P127" i="12"/>
  <c r="M155" i="12"/>
  <c r="P155" i="12" s="1"/>
  <c r="P157" i="12"/>
  <c r="L304" i="12"/>
  <c r="O304" i="12" s="1"/>
  <c r="O306" i="12"/>
  <c r="L300" i="12"/>
  <c r="N351" i="12"/>
  <c r="O351" i="12" s="1"/>
  <c r="P353" i="12"/>
  <c r="N347" i="12"/>
  <c r="N405" i="12"/>
  <c r="N404" i="12"/>
  <c r="N402" i="12" s="1"/>
  <c r="L135" i="12"/>
  <c r="O135" i="12" s="1"/>
  <c r="L138" i="12"/>
  <c r="O138" i="12" s="1"/>
  <c r="M168" i="12"/>
  <c r="P168" i="12" s="1"/>
  <c r="M171" i="12"/>
  <c r="P171" i="12" s="1"/>
  <c r="M184" i="12"/>
  <c r="M187" i="12"/>
  <c r="P187" i="12" s="1"/>
  <c r="O282" i="12"/>
  <c r="O285" i="12"/>
  <c r="M301" i="12"/>
  <c r="P301" i="12" s="1"/>
  <c r="L317" i="12"/>
  <c r="L421" i="12"/>
  <c r="P525" i="12"/>
  <c r="M523" i="12"/>
  <c r="J537" i="12"/>
  <c r="J522" i="12" s="1"/>
  <c r="K577" i="12"/>
  <c r="P755" i="12"/>
  <c r="M754" i="12"/>
  <c r="P754" i="12" s="1"/>
  <c r="P807" i="12"/>
  <c r="M805" i="12"/>
  <c r="P805" i="12" s="1"/>
  <c r="I434" i="12"/>
  <c r="K438" i="12"/>
  <c r="L477" i="12"/>
  <c r="O477" i="12" s="1"/>
  <c r="O479" i="12"/>
  <c r="L469" i="12"/>
  <c r="O524" i="12"/>
  <c r="I785" i="12"/>
  <c r="K785" i="12" s="1"/>
  <c r="K800" i="12"/>
  <c r="O806" i="12"/>
  <c r="L805" i="12"/>
  <c r="O805" i="12" s="1"/>
  <c r="I197" i="12"/>
  <c r="K197" i="12" s="1"/>
  <c r="M300" i="12"/>
  <c r="L330" i="12"/>
  <c r="K355" i="12"/>
  <c r="N391" i="12"/>
  <c r="N389" i="12" s="1"/>
  <c r="L447" i="12"/>
  <c r="O447" i="12" s="1"/>
  <c r="O449" i="12"/>
  <c r="K561" i="12"/>
  <c r="P738" i="12"/>
  <c r="M737" i="12"/>
  <c r="P737" i="12" s="1"/>
  <c r="P771" i="12"/>
  <c r="M770" i="12"/>
  <c r="P770" i="12" s="1"/>
  <c r="P788" i="12"/>
  <c r="M786" i="12"/>
  <c r="P786" i="12" s="1"/>
  <c r="N330" i="12"/>
  <c r="L422" i="12"/>
  <c r="O422" i="12" s="1"/>
  <c r="K628" i="12"/>
  <c r="L632" i="12"/>
  <c r="O632" i="12" s="1"/>
  <c r="O634" i="12"/>
  <c r="P687" i="12"/>
  <c r="M685" i="12"/>
  <c r="P685" i="12" s="1"/>
  <c r="O787" i="12"/>
  <c r="L786" i="12"/>
  <c r="O786" i="12" s="1"/>
  <c r="O528" i="12"/>
  <c r="I654" i="12"/>
  <c r="K654" i="12" s="1"/>
  <c r="O791" i="12"/>
  <c r="J433" i="12"/>
  <c r="J721" i="10"/>
  <c r="M94" i="11"/>
  <c r="P94" i="11" s="1"/>
  <c r="M125" i="11"/>
  <c r="P125" i="11" s="1"/>
  <c r="P127" i="11"/>
  <c r="O184" i="11"/>
  <c r="K193" i="11"/>
  <c r="L209" i="11"/>
  <c r="O209" i="11" s="1"/>
  <c r="K224" i="11"/>
  <c r="N279" i="11"/>
  <c r="L300" i="11"/>
  <c r="L298" i="11" s="1"/>
  <c r="J327" i="11"/>
  <c r="K327" i="11" s="1"/>
  <c r="M347" i="11"/>
  <c r="J365" i="11"/>
  <c r="J364" i="11" s="1"/>
  <c r="K370" i="11"/>
  <c r="I443" i="11"/>
  <c r="K443" i="11" s="1"/>
  <c r="I559" i="11"/>
  <c r="I543" i="11" s="1"/>
  <c r="K543" i="11" s="1"/>
  <c r="I785" i="11"/>
  <c r="L632" i="4"/>
  <c r="O632" i="4" s="1"/>
  <c r="P49" i="11"/>
  <c r="L55" i="11"/>
  <c r="L53" i="11" s="1"/>
  <c r="O56" i="11"/>
  <c r="O301" i="11"/>
  <c r="O333" i="11"/>
  <c r="L348" i="11"/>
  <c r="O348" i="11" s="1"/>
  <c r="I433" i="11"/>
  <c r="I417" i="11" s="1"/>
  <c r="O791" i="11"/>
  <c r="M168" i="11"/>
  <c r="P168" i="11" s="1"/>
  <c r="O154" i="9"/>
  <c r="K359" i="10"/>
  <c r="P71" i="11"/>
  <c r="O138" i="11"/>
  <c r="P170" i="11"/>
  <c r="K244" i="11"/>
  <c r="L283" i="11"/>
  <c r="O283" i="11" s="1"/>
  <c r="M304" i="11"/>
  <c r="P304" i="11" s="1"/>
  <c r="P323" i="11"/>
  <c r="K801" i="11"/>
  <c r="I208" i="10"/>
  <c r="K208" i="10" s="1"/>
  <c r="L26" i="11"/>
  <c r="M283" i="11"/>
  <c r="P283" i="11" s="1"/>
  <c r="K699" i="11"/>
  <c r="K360" i="10"/>
  <c r="N55" i="11"/>
  <c r="N53" i="11" s="1"/>
  <c r="L167" i="11"/>
  <c r="L165" i="11" s="1"/>
  <c r="M264" i="11"/>
  <c r="P264" i="11" s="1"/>
  <c r="M267" i="11"/>
  <c r="P267" i="11" s="1"/>
  <c r="K649" i="11"/>
  <c r="K700" i="11"/>
  <c r="N23" i="11"/>
  <c r="N21" i="11" s="1"/>
  <c r="N43" i="11"/>
  <c r="N41" i="11" s="1"/>
  <c r="M90" i="11"/>
  <c r="P93" i="11"/>
  <c r="M91" i="11"/>
  <c r="K98" i="11"/>
  <c r="I86" i="11"/>
  <c r="K86" i="11" s="1"/>
  <c r="L229" i="11"/>
  <c r="P336" i="11"/>
  <c r="M330" i="11"/>
  <c r="M328" i="11" s="1"/>
  <c r="L429" i="11"/>
  <c r="O429" i="11" s="1"/>
  <c r="L36" i="11"/>
  <c r="O36" i="11" s="1"/>
  <c r="O431" i="11"/>
  <c r="L447" i="11"/>
  <c r="O447" i="11" s="1"/>
  <c r="L33" i="11"/>
  <c r="L446" i="11"/>
  <c r="L444" i="11" s="1"/>
  <c r="O449" i="11"/>
  <c r="J722" i="9"/>
  <c r="K722" i="9" s="1"/>
  <c r="M167" i="10"/>
  <c r="M165" i="10" s="1"/>
  <c r="P394" i="10"/>
  <c r="M392" i="10"/>
  <c r="P392" i="10" s="1"/>
  <c r="O46" i="11"/>
  <c r="O93" i="11"/>
  <c r="N90" i="11"/>
  <c r="N135" i="11"/>
  <c r="O135" i="11" s="1"/>
  <c r="M334" i="11"/>
  <c r="P334" i="11" s="1"/>
  <c r="N334" i="11"/>
  <c r="N330" i="11"/>
  <c r="N328" i="11" s="1"/>
  <c r="O660" i="11"/>
  <c r="L657" i="11"/>
  <c r="O657" i="11" s="1"/>
  <c r="O303" i="9"/>
  <c r="L301" i="9"/>
  <c r="O301" i="9" s="1"/>
  <c r="L43" i="9"/>
  <c r="L41" i="9" s="1"/>
  <c r="M348" i="10"/>
  <c r="M347" i="10"/>
  <c r="M345" i="10" s="1"/>
  <c r="M68" i="11"/>
  <c r="L68" i="11"/>
  <c r="L66" i="11" s="1"/>
  <c r="O71" i="11"/>
  <c r="L69" i="11"/>
  <c r="O69" i="11" s="1"/>
  <c r="L217" i="11"/>
  <c r="O217" i="11" s="1"/>
  <c r="I297" i="11"/>
  <c r="K297" i="11" s="1"/>
  <c r="N351" i="11"/>
  <c r="P351" i="11" s="1"/>
  <c r="N347" i="11"/>
  <c r="N345" i="11" s="1"/>
  <c r="O394" i="11"/>
  <c r="L392" i="11"/>
  <c r="O392" i="11" s="1"/>
  <c r="K647" i="11"/>
  <c r="L334" i="10"/>
  <c r="O334" i="10" s="1"/>
  <c r="O336" i="10"/>
  <c r="K537" i="10"/>
  <c r="I559" i="10"/>
  <c r="I543" i="10" s="1"/>
  <c r="K543" i="10" s="1"/>
  <c r="K576" i="10"/>
  <c r="L23" i="11"/>
  <c r="L21" i="11" s="1"/>
  <c r="O140" i="11"/>
  <c r="K145" i="11"/>
  <c r="M183" i="11"/>
  <c r="M181" i="11" s="1"/>
  <c r="K215" i="11"/>
  <c r="L318" i="11"/>
  <c r="O318" i="11" s="1"/>
  <c r="O320" i="11"/>
  <c r="K378" i="11"/>
  <c r="K381" i="11"/>
  <c r="M135" i="10"/>
  <c r="P135" i="10" s="1"/>
  <c r="M134" i="10"/>
  <c r="P134" i="10" s="1"/>
  <c r="I131" i="11"/>
  <c r="O634" i="11"/>
  <c r="L631" i="11"/>
  <c r="O631" i="11" s="1"/>
  <c r="K271" i="9"/>
  <c r="I260" i="9"/>
  <c r="K260" i="9" s="1"/>
  <c r="N121" i="10"/>
  <c r="N119" i="10" s="1"/>
  <c r="N125" i="10"/>
  <c r="O173" i="10"/>
  <c r="L171" i="10"/>
  <c r="O171" i="10" s="1"/>
  <c r="K309" i="10"/>
  <c r="I297" i="10"/>
  <c r="K297" i="10" s="1"/>
  <c r="M23" i="11"/>
  <c r="P46" i="11"/>
  <c r="M43" i="11"/>
  <c r="M41" i="11" s="1"/>
  <c r="P173" i="11"/>
  <c r="M171" i="11"/>
  <c r="P171" i="11" s="1"/>
  <c r="L249" i="11"/>
  <c r="O249" i="11" s="1"/>
  <c r="I314" i="11"/>
  <c r="K314" i="11" s="1"/>
  <c r="P320" i="11"/>
  <c r="M317" i="11"/>
  <c r="L217" i="10"/>
  <c r="O217" i="10" s="1"/>
  <c r="L279" i="10"/>
  <c r="L277" i="10" s="1"/>
  <c r="N347" i="10"/>
  <c r="N345" i="10" s="1"/>
  <c r="J785" i="10"/>
  <c r="M26" i="11"/>
  <c r="M16" i="11" s="1"/>
  <c r="O59" i="11"/>
  <c r="L238" i="11"/>
  <c r="O282" i="11"/>
  <c r="O336" i="11"/>
  <c r="L347" i="11"/>
  <c r="K374" i="11"/>
  <c r="J537" i="11"/>
  <c r="J522" i="11" s="1"/>
  <c r="L788" i="11"/>
  <c r="L546" i="9"/>
  <c r="O546" i="9" s="1"/>
  <c r="N134" i="10"/>
  <c r="N132" i="10" s="1"/>
  <c r="L228" i="10"/>
  <c r="P61" i="11"/>
  <c r="N121" i="11"/>
  <c r="N119" i="11" s="1"/>
  <c r="N167" i="11"/>
  <c r="N165" i="11" s="1"/>
  <c r="K216" i="11"/>
  <c r="N263" i="11"/>
  <c r="P282" i="11"/>
  <c r="L330" i="11"/>
  <c r="L328" i="11" s="1"/>
  <c r="K338" i="11"/>
  <c r="K577" i="11"/>
  <c r="K821" i="11"/>
  <c r="K824" i="11"/>
  <c r="K827" i="11"/>
  <c r="M395" i="10"/>
  <c r="P395" i="10" s="1"/>
  <c r="P59" i="11"/>
  <c r="J143" i="11"/>
  <c r="J131" i="11" s="1"/>
  <c r="P280" i="11"/>
  <c r="I76" i="11"/>
  <c r="K76" i="11" s="1"/>
  <c r="P303" i="11"/>
  <c r="J433" i="11"/>
  <c r="J417" i="11" s="1"/>
  <c r="O456" i="11"/>
  <c r="K701" i="11"/>
  <c r="K728" i="11"/>
  <c r="K822" i="11"/>
  <c r="K825" i="11"/>
  <c r="K828" i="11"/>
  <c r="N55" i="9"/>
  <c r="N53" i="9" s="1"/>
  <c r="M134" i="9"/>
  <c r="P134" i="9" s="1"/>
  <c r="O266" i="9"/>
  <c r="N330" i="9"/>
  <c r="N328" i="9" s="1"/>
  <c r="O397" i="9"/>
  <c r="I87" i="10"/>
  <c r="K87" i="10" s="1"/>
  <c r="P93" i="10"/>
  <c r="L121" i="10"/>
  <c r="O121" i="10" s="1"/>
  <c r="L155" i="10"/>
  <c r="O155" i="10" s="1"/>
  <c r="M183" i="10"/>
  <c r="M181" i="10" s="1"/>
  <c r="P186" i="10"/>
  <c r="I197" i="10"/>
  <c r="K197" i="10" s="1"/>
  <c r="L395" i="10"/>
  <c r="O395" i="10" s="1"/>
  <c r="K801" i="10"/>
  <c r="O46" i="10"/>
  <c r="M90" i="10"/>
  <c r="M88" i="10" s="1"/>
  <c r="L125" i="10"/>
  <c r="O125" i="10" s="1"/>
  <c r="M404" i="10"/>
  <c r="P404" i="10" s="1"/>
  <c r="L90" i="9"/>
  <c r="L88" i="9" s="1"/>
  <c r="K287" i="9"/>
  <c r="L301" i="10"/>
  <c r="O301" i="10" s="1"/>
  <c r="M318" i="10"/>
  <c r="P318" i="10" s="1"/>
  <c r="K338" i="10"/>
  <c r="M391" i="10"/>
  <c r="M389" i="10" s="1"/>
  <c r="P389" i="10" s="1"/>
  <c r="L404" i="10"/>
  <c r="O404" i="10" s="1"/>
  <c r="O449" i="10"/>
  <c r="K362" i="8"/>
  <c r="I297" i="9"/>
  <c r="K297" i="9" s="1"/>
  <c r="L391" i="9"/>
  <c r="L389" i="9" s="1"/>
  <c r="O389" i="9" s="1"/>
  <c r="K466" i="9"/>
  <c r="O56" i="10"/>
  <c r="O140" i="10"/>
  <c r="L198" i="10"/>
  <c r="O198" i="10" s="1"/>
  <c r="K224" i="10"/>
  <c r="M279" i="10"/>
  <c r="M277" i="10" s="1"/>
  <c r="L283" i="10"/>
  <c r="O283" i="10" s="1"/>
  <c r="N301" i="10"/>
  <c r="K381" i="10"/>
  <c r="N404" i="10"/>
  <c r="N402" i="10" s="1"/>
  <c r="K462" i="10"/>
  <c r="K560" i="10"/>
  <c r="K569" i="10"/>
  <c r="K577" i="10"/>
  <c r="O660" i="10"/>
  <c r="K568" i="7"/>
  <c r="N13" i="11"/>
  <c r="L33" i="10"/>
  <c r="O33" i="10" s="1"/>
  <c r="P12" i="11"/>
  <c r="M15" i="11"/>
  <c r="P19" i="11"/>
  <c r="P25" i="11"/>
  <c r="M29" i="11"/>
  <c r="P32" i="11"/>
  <c r="M44" i="11"/>
  <c r="P44" i="11" s="1"/>
  <c r="O58" i="11"/>
  <c r="O61" i="11"/>
  <c r="M69" i="11"/>
  <c r="P69" i="11" s="1"/>
  <c r="M72" i="11"/>
  <c r="P72" i="11" s="1"/>
  <c r="N91" i="11"/>
  <c r="I112" i="11"/>
  <c r="K112" i="11" s="1"/>
  <c r="P120" i="11"/>
  <c r="N134" i="11"/>
  <c r="I148" i="11"/>
  <c r="K148" i="11" s="1"/>
  <c r="L155" i="11"/>
  <c r="O155" i="11" s="1"/>
  <c r="N183" i="11"/>
  <c r="P186" i="11"/>
  <c r="L198" i="11"/>
  <c r="O198" i="11" s="1"/>
  <c r="I260" i="11"/>
  <c r="K260" i="11" s="1"/>
  <c r="L267" i="11"/>
  <c r="O267" i="11" s="1"/>
  <c r="I276" i="11"/>
  <c r="K276" i="11" s="1"/>
  <c r="O278" i="11"/>
  <c r="J288" i="11"/>
  <c r="I275" i="11"/>
  <c r="O303" i="11"/>
  <c r="P329" i="11"/>
  <c r="N331" i="11"/>
  <c r="O331" i="11" s="1"/>
  <c r="P333" i="11"/>
  <c r="M331" i="11"/>
  <c r="L408" i="11"/>
  <c r="O408" i="11" s="1"/>
  <c r="O54" i="11"/>
  <c r="L121" i="11"/>
  <c r="P140" i="11"/>
  <c r="M138" i="11"/>
  <c r="P138" i="11" s="1"/>
  <c r="N151" i="11"/>
  <c r="O173" i="11"/>
  <c r="O323" i="11"/>
  <c r="L404" i="11"/>
  <c r="O404" i="11" s="1"/>
  <c r="I77" i="11"/>
  <c r="O154" i="11"/>
  <c r="K208" i="11"/>
  <c r="O266" i="11"/>
  <c r="O280" i="11"/>
  <c r="L317" i="11"/>
  <c r="O472" i="11"/>
  <c r="P137" i="11"/>
  <c r="M135" i="11"/>
  <c r="O346" i="11"/>
  <c r="K460" i="11"/>
  <c r="I442" i="11"/>
  <c r="K442" i="11" s="1"/>
  <c r="N470" i="11"/>
  <c r="N469" i="11"/>
  <c r="N467" i="11" s="1"/>
  <c r="K80" i="11"/>
  <c r="I164" i="11"/>
  <c r="K164" i="11" s="1"/>
  <c r="K174" i="11"/>
  <c r="P262" i="11"/>
  <c r="L304" i="11"/>
  <c r="O304" i="11" s="1"/>
  <c r="O353" i="11"/>
  <c r="L391" i="11"/>
  <c r="O397" i="11"/>
  <c r="L405" i="11"/>
  <c r="O405" i="11" s="1"/>
  <c r="M404" i="11"/>
  <c r="P407" i="11"/>
  <c r="P421" i="11"/>
  <c r="M419" i="11"/>
  <c r="P446" i="11"/>
  <c r="M444" i="11"/>
  <c r="P444" i="11" s="1"/>
  <c r="O470" i="11"/>
  <c r="L9" i="11"/>
  <c r="L15" i="11"/>
  <c r="L29" i="11"/>
  <c r="M30" i="11"/>
  <c r="P30" i="11" s="1"/>
  <c r="L122" i="11"/>
  <c r="O122" i="11" s="1"/>
  <c r="M134" i="11"/>
  <c r="L151" i="11"/>
  <c r="P154" i="11"/>
  <c r="K176" i="11"/>
  <c r="O186" i="11"/>
  <c r="L263" i="11"/>
  <c r="P266" i="11"/>
  <c r="M279" i="11"/>
  <c r="N300" i="11"/>
  <c r="P350" i="11"/>
  <c r="M348" i="11"/>
  <c r="P348" i="11" s="1"/>
  <c r="K355" i="11"/>
  <c r="P390" i="11"/>
  <c r="M405" i="11"/>
  <c r="P405" i="11" s="1"/>
  <c r="O420" i="11"/>
  <c r="O445" i="11"/>
  <c r="K340" i="11"/>
  <c r="P353" i="11"/>
  <c r="K362" i="11"/>
  <c r="M391" i="11"/>
  <c r="P391" i="11" s="1"/>
  <c r="M467" i="11"/>
  <c r="P467" i="11" s="1"/>
  <c r="L477" i="11"/>
  <c r="O477" i="11" s="1"/>
  <c r="N504" i="11"/>
  <c r="N502" i="11" s="1"/>
  <c r="L525" i="11"/>
  <c r="O525" i="11" s="1"/>
  <c r="K537" i="11"/>
  <c r="P807" i="11"/>
  <c r="M805" i="11"/>
  <c r="P805" i="11" s="1"/>
  <c r="O806" i="11"/>
  <c r="L805" i="11"/>
  <c r="O805" i="11" s="1"/>
  <c r="L546" i="11"/>
  <c r="M523" i="11"/>
  <c r="P523" i="11" s="1"/>
  <c r="P524" i="11"/>
  <c r="O549" i="11"/>
  <c r="P657" i="11"/>
  <c r="M655" i="11"/>
  <c r="P655" i="11" s="1"/>
  <c r="K385" i="11"/>
  <c r="M392" i="11"/>
  <c r="P392" i="11" s="1"/>
  <c r="L469" i="11"/>
  <c r="K539" i="11"/>
  <c r="K568" i="11"/>
  <c r="J593" i="11"/>
  <c r="O656" i="11"/>
  <c r="K675" i="11"/>
  <c r="I654" i="11"/>
  <c r="K654" i="11" s="1"/>
  <c r="K674" i="11"/>
  <c r="K673" i="11"/>
  <c r="K669" i="11"/>
  <c r="K672" i="11"/>
  <c r="O690" i="11"/>
  <c r="L687" i="11"/>
  <c r="L688" i="11"/>
  <c r="O688" i="11" s="1"/>
  <c r="N419" i="11"/>
  <c r="N444" i="11"/>
  <c r="O528" i="11"/>
  <c r="O630" i="11"/>
  <c r="L639" i="11"/>
  <c r="O639" i="11" s="1"/>
  <c r="P686" i="11"/>
  <c r="P787" i="11"/>
  <c r="L754" i="11"/>
  <c r="O754" i="11" s="1"/>
  <c r="L789" i="10"/>
  <c r="O789" i="10" s="1"/>
  <c r="K360" i="8"/>
  <c r="L392" i="8"/>
  <c r="O392" i="8" s="1"/>
  <c r="L658" i="9"/>
  <c r="O658" i="9" s="1"/>
  <c r="L55" i="10"/>
  <c r="L53" i="10" s="1"/>
  <c r="M263" i="10"/>
  <c r="M261" i="10" s="1"/>
  <c r="K568" i="10"/>
  <c r="K621" i="10"/>
  <c r="O791" i="10"/>
  <c r="M122" i="8"/>
  <c r="P122" i="8" s="1"/>
  <c r="J288" i="9"/>
  <c r="J275" i="9" s="1"/>
  <c r="K275" i="9" s="1"/>
  <c r="N44" i="10"/>
  <c r="O44" i="10" s="1"/>
  <c r="P46" i="10"/>
  <c r="M168" i="10"/>
  <c r="M187" i="10"/>
  <c r="P187" i="10" s="1"/>
  <c r="L231" i="10"/>
  <c r="O264" i="10"/>
  <c r="L304" i="10"/>
  <c r="O304" i="10" s="1"/>
  <c r="L318" i="10"/>
  <c r="O318" i="10" s="1"/>
  <c r="K435" i="10"/>
  <c r="L72" i="8"/>
  <c r="O72" i="8" s="1"/>
  <c r="O59" i="10"/>
  <c r="O71" i="10"/>
  <c r="L151" i="10"/>
  <c r="O151" i="10" s="1"/>
  <c r="L280" i="10"/>
  <c r="P320" i="10"/>
  <c r="M330" i="10"/>
  <c r="M328" i="10" s="1"/>
  <c r="K379" i="10"/>
  <c r="L631" i="10"/>
  <c r="L657" i="10"/>
  <c r="L655" i="10" s="1"/>
  <c r="O655" i="10" s="1"/>
  <c r="L688" i="10"/>
  <c r="O688" i="10" s="1"/>
  <c r="I785" i="10"/>
  <c r="L657" i="6"/>
  <c r="O657" i="6" s="1"/>
  <c r="N69" i="10"/>
  <c r="O69" i="10" s="1"/>
  <c r="P71" i="10"/>
  <c r="N90" i="10"/>
  <c r="N88" i="10" s="1"/>
  <c r="P137" i="10"/>
  <c r="I148" i="10"/>
  <c r="K148" i="10" s="1"/>
  <c r="O186" i="10"/>
  <c r="I260" i="10"/>
  <c r="K260" i="10" s="1"/>
  <c r="M283" i="10"/>
  <c r="P283" i="10" s="1"/>
  <c r="K355" i="10"/>
  <c r="N151" i="10"/>
  <c r="N149" i="10" s="1"/>
  <c r="L183" i="10"/>
  <c r="L181" i="10" s="1"/>
  <c r="P350" i="10"/>
  <c r="K561" i="10"/>
  <c r="N392" i="10"/>
  <c r="N391" i="10"/>
  <c r="N389" i="10" s="1"/>
  <c r="L404" i="8"/>
  <c r="L402" i="8" s="1"/>
  <c r="O402" i="8" s="1"/>
  <c r="L68" i="9"/>
  <c r="O68" i="9" s="1"/>
  <c r="K98" i="9"/>
  <c r="N183" i="9"/>
  <c r="N181" i="9" s="1"/>
  <c r="K215" i="9"/>
  <c r="K370" i="9"/>
  <c r="L43" i="10"/>
  <c r="L47" i="10"/>
  <c r="O47" i="10" s="1"/>
  <c r="N26" i="10"/>
  <c r="N16" i="10" s="1"/>
  <c r="N14" i="10" s="1"/>
  <c r="L68" i="10"/>
  <c r="L72" i="10"/>
  <c r="O72" i="10" s="1"/>
  <c r="M94" i="10"/>
  <c r="P94" i="10" s="1"/>
  <c r="L122" i="10"/>
  <c r="O122" i="10" s="1"/>
  <c r="P140" i="10"/>
  <c r="M171" i="10"/>
  <c r="P171" i="10" s="1"/>
  <c r="L249" i="10"/>
  <c r="O249" i="10" s="1"/>
  <c r="L263" i="10"/>
  <c r="L261" i="10" s="1"/>
  <c r="J288" i="10"/>
  <c r="J275" i="10" s="1"/>
  <c r="K275" i="10" s="1"/>
  <c r="M321" i="10"/>
  <c r="P321" i="10" s="1"/>
  <c r="N331" i="10"/>
  <c r="P331" i="10" s="1"/>
  <c r="O333" i="10"/>
  <c r="L446" i="10"/>
  <c r="L555" i="10"/>
  <c r="O555" i="10" s="1"/>
  <c r="L546" i="10"/>
  <c r="O546" i="10" s="1"/>
  <c r="O557" i="10"/>
  <c r="N43" i="8"/>
  <c r="N41" i="8" s="1"/>
  <c r="M317" i="8"/>
  <c r="P317" i="8" s="1"/>
  <c r="L688" i="8"/>
  <c r="O688" i="8" s="1"/>
  <c r="L55" i="9"/>
  <c r="L53" i="9" s="1"/>
  <c r="L69" i="9"/>
  <c r="O69" i="9" s="1"/>
  <c r="L41" i="10"/>
  <c r="M43" i="10"/>
  <c r="M41" i="10" s="1"/>
  <c r="O58" i="10"/>
  <c r="L66" i="10"/>
  <c r="M68" i="10"/>
  <c r="M66" i="10" s="1"/>
  <c r="L135" i="10"/>
  <c r="O135" i="10" s="1"/>
  <c r="L152" i="10"/>
  <c r="O152" i="10" s="1"/>
  <c r="L167" i="10"/>
  <c r="L165" i="10" s="1"/>
  <c r="I174" i="10"/>
  <c r="N183" i="10"/>
  <c r="N181" i="10" s="1"/>
  <c r="O266" i="10"/>
  <c r="L300" i="10"/>
  <c r="O300" i="10" s="1"/>
  <c r="P333" i="10"/>
  <c r="K340" i="10"/>
  <c r="N348" i="10"/>
  <c r="P353" i="10"/>
  <c r="O424" i="10"/>
  <c r="K803" i="10"/>
  <c r="M69" i="9"/>
  <c r="P69" i="9" s="1"/>
  <c r="L231" i="9"/>
  <c r="K255" i="9"/>
  <c r="J327" i="9"/>
  <c r="K327" i="9" s="1"/>
  <c r="K359" i="9"/>
  <c r="L408" i="9"/>
  <c r="O408" i="9" s="1"/>
  <c r="L470" i="9"/>
  <c r="O470" i="9" s="1"/>
  <c r="L36" i="10"/>
  <c r="O36" i="10" s="1"/>
  <c r="N43" i="10"/>
  <c r="P49" i="10"/>
  <c r="N55" i="10"/>
  <c r="N53" i="10" s="1"/>
  <c r="O61" i="10"/>
  <c r="N68" i="10"/>
  <c r="P74" i="10"/>
  <c r="L134" i="10"/>
  <c r="O134" i="10" s="1"/>
  <c r="O170" i="10"/>
  <c r="L184" i="10"/>
  <c r="N263" i="10"/>
  <c r="N261" i="10" s="1"/>
  <c r="I276" i="10"/>
  <c r="K276" i="10" s="1"/>
  <c r="N317" i="10"/>
  <c r="N315" i="10" s="1"/>
  <c r="J327" i="10"/>
  <c r="K327" i="10" s="1"/>
  <c r="L330" i="10"/>
  <c r="L421" i="10"/>
  <c r="I76" i="10"/>
  <c r="I64" i="10" s="1"/>
  <c r="K64" i="10" s="1"/>
  <c r="O93" i="10"/>
  <c r="N167" i="10"/>
  <c r="L209" i="10"/>
  <c r="O209" i="10" s="1"/>
  <c r="K216" i="10"/>
  <c r="O394" i="10"/>
  <c r="L391" i="10"/>
  <c r="J721" i="7"/>
  <c r="K822" i="7"/>
  <c r="K828" i="7"/>
  <c r="N90" i="9"/>
  <c r="K145" i="9"/>
  <c r="O456" i="9"/>
  <c r="L23" i="10"/>
  <c r="I130" i="10"/>
  <c r="K130" i="10" s="1"/>
  <c r="P170" i="10"/>
  <c r="L267" i="10"/>
  <c r="O267" i="10" s="1"/>
  <c r="P282" i="10"/>
  <c r="L348" i="10"/>
  <c r="O350" i="10"/>
  <c r="L347" i="10"/>
  <c r="L351" i="10"/>
  <c r="O351" i="10" s="1"/>
  <c r="O353" i="10"/>
  <c r="K378" i="10"/>
  <c r="L392" i="10"/>
  <c r="O392" i="10" s="1"/>
  <c r="I592" i="10"/>
  <c r="K592" i="10" s="1"/>
  <c r="K593" i="10"/>
  <c r="K362" i="10"/>
  <c r="K370" i="10"/>
  <c r="K647" i="10"/>
  <c r="K824" i="10"/>
  <c r="K628" i="10"/>
  <c r="K822" i="10"/>
  <c r="K828" i="10"/>
  <c r="P351" i="10"/>
  <c r="K649" i="10"/>
  <c r="K651" i="10"/>
  <c r="L786" i="10"/>
  <c r="O786" i="10" s="1"/>
  <c r="K823" i="10"/>
  <c r="O15" i="10"/>
  <c r="L9" i="10"/>
  <c r="L238" i="10"/>
  <c r="L229" i="10"/>
  <c r="M321" i="7"/>
  <c r="P321" i="7" s="1"/>
  <c r="M138" i="8"/>
  <c r="P138" i="8" s="1"/>
  <c r="P333" i="8"/>
  <c r="P49" i="9"/>
  <c r="P93" i="9"/>
  <c r="L264" i="9"/>
  <c r="M391" i="9"/>
  <c r="P391" i="9" s="1"/>
  <c r="K537" i="9"/>
  <c r="N9" i="10"/>
  <c r="L26" i="10"/>
  <c r="L24" i="10" s="1"/>
  <c r="M56" i="10"/>
  <c r="P56" i="10" s="1"/>
  <c r="P58" i="10"/>
  <c r="L91" i="10"/>
  <c r="P120" i="10"/>
  <c r="P150" i="10"/>
  <c r="I190" i="10"/>
  <c r="K190" i="10" s="1"/>
  <c r="M264" i="10"/>
  <c r="P264" i="10" s="1"/>
  <c r="P266" i="10"/>
  <c r="O29" i="10"/>
  <c r="M304" i="10"/>
  <c r="P304" i="10" s="1"/>
  <c r="P306" i="10"/>
  <c r="O323" i="10"/>
  <c r="L317" i="10"/>
  <c r="I260" i="7"/>
  <c r="K260" i="7" s="1"/>
  <c r="L229" i="8"/>
  <c r="O285" i="9"/>
  <c r="P54" i="10"/>
  <c r="L94" i="10"/>
  <c r="O94" i="10" s="1"/>
  <c r="K100" i="10"/>
  <c r="M125" i="10"/>
  <c r="P125" i="10" s="1"/>
  <c r="P127" i="10"/>
  <c r="I143" i="10"/>
  <c r="M155" i="10"/>
  <c r="P155" i="10" s="1"/>
  <c r="P157" i="10"/>
  <c r="K255" i="10"/>
  <c r="I248" i="10"/>
  <c r="K248" i="10" s="1"/>
  <c r="I233" i="10"/>
  <c r="K233" i="10" s="1"/>
  <c r="O262" i="10"/>
  <c r="M300" i="10"/>
  <c r="P300" i="10" s="1"/>
  <c r="L321" i="10"/>
  <c r="O321" i="10" s="1"/>
  <c r="O329" i="10"/>
  <c r="M152" i="10"/>
  <c r="P152" i="10" s="1"/>
  <c r="P154" i="10"/>
  <c r="I216" i="9"/>
  <c r="K216" i="9" s="1"/>
  <c r="K338" i="9"/>
  <c r="M395" i="9"/>
  <c r="P395" i="9" s="1"/>
  <c r="I442" i="9"/>
  <c r="K442" i="9" s="1"/>
  <c r="M59" i="10"/>
  <c r="P59" i="10" s="1"/>
  <c r="M26" i="10"/>
  <c r="P61" i="10"/>
  <c r="M267" i="10"/>
  <c r="P267" i="10" s="1"/>
  <c r="P269" i="10"/>
  <c r="P444" i="10"/>
  <c r="I442" i="10"/>
  <c r="K442" i="10" s="1"/>
  <c r="K460" i="10"/>
  <c r="J537" i="10"/>
  <c r="J522" i="10" s="1"/>
  <c r="K538" i="10"/>
  <c r="O739" i="10"/>
  <c r="L737" i="10"/>
  <c r="O737" i="10" s="1"/>
  <c r="M122" i="10"/>
  <c r="P122" i="10" s="1"/>
  <c r="P124" i="10"/>
  <c r="K378" i="8"/>
  <c r="P137" i="9"/>
  <c r="P353" i="9"/>
  <c r="K374" i="9"/>
  <c r="I434" i="9"/>
  <c r="I418" i="9" s="1"/>
  <c r="K418" i="9" s="1"/>
  <c r="L525" i="9"/>
  <c r="O525" i="9" s="1"/>
  <c r="M23" i="10"/>
  <c r="P36" i="10"/>
  <c r="M34" i="10"/>
  <c r="P34" i="10" s="1"/>
  <c r="L90" i="10"/>
  <c r="I86" i="10"/>
  <c r="K86" i="10" s="1"/>
  <c r="K98" i="10"/>
  <c r="M121" i="10"/>
  <c r="P121" i="10" s="1"/>
  <c r="M151" i="10"/>
  <c r="O299" i="10"/>
  <c r="M301" i="10"/>
  <c r="P301" i="10" s="1"/>
  <c r="P303" i="10"/>
  <c r="K437" i="10"/>
  <c r="J433" i="10"/>
  <c r="K370" i="8"/>
  <c r="K699" i="9"/>
  <c r="K822" i="9"/>
  <c r="K825" i="9"/>
  <c r="K828" i="9"/>
  <c r="O22" i="10"/>
  <c r="L19" i="10"/>
  <c r="O35" i="10"/>
  <c r="M55" i="10"/>
  <c r="P278" i="10"/>
  <c r="N280" i="10"/>
  <c r="O282" i="10"/>
  <c r="M405" i="10"/>
  <c r="P405" i="10" s="1"/>
  <c r="P407" i="10"/>
  <c r="N739" i="10"/>
  <c r="N737" i="10" s="1"/>
  <c r="N740" i="10"/>
  <c r="M15" i="10"/>
  <c r="N23" i="10"/>
  <c r="M29" i="10"/>
  <c r="N91" i="10"/>
  <c r="P91" i="10" s="1"/>
  <c r="I112" i="10"/>
  <c r="K112" i="10" s="1"/>
  <c r="J143" i="10"/>
  <c r="J131" i="10" s="1"/>
  <c r="N168" i="10"/>
  <c r="O168" i="10" s="1"/>
  <c r="N184" i="10"/>
  <c r="P336" i="10"/>
  <c r="K372" i="10"/>
  <c r="M408" i="10"/>
  <c r="P408" i="10" s="1"/>
  <c r="P410" i="10"/>
  <c r="O535" i="10"/>
  <c r="L525" i="10"/>
  <c r="O525" i="10" s="1"/>
  <c r="N544" i="10"/>
  <c r="K675" i="10"/>
  <c r="I654" i="10"/>
  <c r="K654" i="10" s="1"/>
  <c r="K674" i="10"/>
  <c r="K673" i="10"/>
  <c r="K669" i="10"/>
  <c r="K672" i="10"/>
  <c r="O690" i="10"/>
  <c r="L687" i="10"/>
  <c r="O772" i="10"/>
  <c r="L770" i="10"/>
  <c r="O770" i="10" s="1"/>
  <c r="P806" i="10"/>
  <c r="M805" i="10"/>
  <c r="P805" i="10" s="1"/>
  <c r="K821" i="10"/>
  <c r="K827" i="10"/>
  <c r="J364" i="10"/>
  <c r="P403" i="10"/>
  <c r="O545" i="10"/>
  <c r="P656" i="10"/>
  <c r="M655" i="10"/>
  <c r="P655" i="10" s="1"/>
  <c r="N687" i="10"/>
  <c r="N685" i="10" s="1"/>
  <c r="N688" i="10"/>
  <c r="N772" i="10"/>
  <c r="N770" i="10" s="1"/>
  <c r="N773" i="10"/>
  <c r="I77" i="10"/>
  <c r="I237" i="10"/>
  <c r="K365" i="10"/>
  <c r="N502" i="10"/>
  <c r="N414" i="10" s="1"/>
  <c r="L547" i="10"/>
  <c r="O547" i="10" s="1"/>
  <c r="O549" i="10"/>
  <c r="O756" i="10"/>
  <c r="L754" i="10"/>
  <c r="O754" i="10" s="1"/>
  <c r="N756" i="10"/>
  <c r="N754" i="10" s="1"/>
  <c r="N757" i="10"/>
  <c r="O407" i="10"/>
  <c r="O410" i="10"/>
  <c r="I434" i="10"/>
  <c r="L477" i="10"/>
  <c r="O477" i="10" s="1"/>
  <c r="M545" i="10"/>
  <c r="L469" i="10"/>
  <c r="N168" i="8"/>
  <c r="O168" i="8" s="1"/>
  <c r="N167" i="8"/>
  <c r="N165" i="8" s="1"/>
  <c r="P306" i="8"/>
  <c r="M304" i="8"/>
  <c r="P304" i="8" s="1"/>
  <c r="P410" i="6"/>
  <c r="M408" i="6"/>
  <c r="P408" i="6" s="1"/>
  <c r="L167" i="8"/>
  <c r="L165" i="8" s="1"/>
  <c r="M122" i="9"/>
  <c r="P122" i="9" s="1"/>
  <c r="M121" i="9"/>
  <c r="K193" i="9"/>
  <c r="M283" i="9"/>
  <c r="P283" i="9" s="1"/>
  <c r="K340" i="9"/>
  <c r="K379" i="9"/>
  <c r="P61" i="8"/>
  <c r="M59" i="8"/>
  <c r="L187" i="8"/>
  <c r="O187" i="8" s="1"/>
  <c r="O189" i="8"/>
  <c r="M72" i="9"/>
  <c r="P72" i="9" s="1"/>
  <c r="M56" i="8"/>
  <c r="M55" i="8"/>
  <c r="M53" i="8" s="1"/>
  <c r="M283" i="8"/>
  <c r="P283" i="8" s="1"/>
  <c r="P285" i="8"/>
  <c r="N167" i="9"/>
  <c r="N165" i="9" s="1"/>
  <c r="N184" i="9"/>
  <c r="P184" i="9" s="1"/>
  <c r="M187" i="9"/>
  <c r="P187" i="9" s="1"/>
  <c r="K244" i="9"/>
  <c r="I237" i="9"/>
  <c r="K237" i="9" s="1"/>
  <c r="I233" i="9"/>
  <c r="K233" i="9" s="1"/>
  <c r="O331" i="9"/>
  <c r="K559" i="9"/>
  <c r="I543" i="9"/>
  <c r="K543" i="9" s="1"/>
  <c r="L639" i="7"/>
  <c r="O639" i="7" s="1"/>
  <c r="I148" i="9"/>
  <c r="K148" i="9" s="1"/>
  <c r="K159" i="9"/>
  <c r="K801" i="9"/>
  <c r="J785" i="9"/>
  <c r="K462" i="6"/>
  <c r="I443" i="6"/>
  <c r="K443" i="6" s="1"/>
  <c r="K700" i="8"/>
  <c r="N43" i="9"/>
  <c r="N41" i="9" s="1"/>
  <c r="M55" i="9"/>
  <c r="M68" i="9"/>
  <c r="P68" i="9" s="1"/>
  <c r="O127" i="9"/>
  <c r="L125" i="9"/>
  <c r="O125" i="9" s="1"/>
  <c r="L230" i="7"/>
  <c r="I112" i="9"/>
  <c r="K112" i="9" s="1"/>
  <c r="L229" i="9"/>
  <c r="L317" i="9"/>
  <c r="O317" i="9" s="1"/>
  <c r="N347" i="9"/>
  <c r="N345" i="9" s="1"/>
  <c r="K369" i="9"/>
  <c r="K647" i="9"/>
  <c r="K654" i="9"/>
  <c r="K116" i="9"/>
  <c r="K190" i="9"/>
  <c r="K594" i="9"/>
  <c r="L788" i="9"/>
  <c r="O788" i="9" s="1"/>
  <c r="M43" i="8"/>
  <c r="M41" i="8" s="1"/>
  <c r="P350" i="8"/>
  <c r="K100" i="9"/>
  <c r="L217" i="9"/>
  <c r="O217" i="9" s="1"/>
  <c r="K381" i="9"/>
  <c r="K577" i="9"/>
  <c r="N404" i="9"/>
  <c r="N402" i="9" s="1"/>
  <c r="K649" i="9"/>
  <c r="K823" i="9"/>
  <c r="K826" i="9"/>
  <c r="M347" i="8"/>
  <c r="M345" i="8" s="1"/>
  <c r="P140" i="9"/>
  <c r="M138" i="9"/>
  <c r="P138" i="9" s="1"/>
  <c r="P173" i="9"/>
  <c r="M167" i="9"/>
  <c r="O306" i="9"/>
  <c r="L304" i="9"/>
  <c r="O304" i="9" s="1"/>
  <c r="L94" i="7"/>
  <c r="O94" i="7" s="1"/>
  <c r="K271" i="8"/>
  <c r="M43" i="9"/>
  <c r="P46" i="9"/>
  <c r="I76" i="9"/>
  <c r="I64" i="9" s="1"/>
  <c r="K64" i="9" s="1"/>
  <c r="K99" i="9"/>
  <c r="I87" i="9"/>
  <c r="K87" i="9" s="1"/>
  <c r="N135" i="9"/>
  <c r="N134" i="9"/>
  <c r="N132" i="9" s="1"/>
  <c r="N301" i="9"/>
  <c r="N300" i="9"/>
  <c r="N298" i="9" s="1"/>
  <c r="M408" i="9"/>
  <c r="P408" i="9" s="1"/>
  <c r="I275" i="7"/>
  <c r="L321" i="8"/>
  <c r="O321" i="8" s="1"/>
  <c r="M334" i="8"/>
  <c r="P334" i="8" s="1"/>
  <c r="M348" i="8"/>
  <c r="P348" i="8" s="1"/>
  <c r="K372" i="8"/>
  <c r="L44" i="9"/>
  <c r="O44" i="9" s="1"/>
  <c r="O61" i="9"/>
  <c r="L59" i="9"/>
  <c r="O59" i="9" s="1"/>
  <c r="K78" i="9"/>
  <c r="L121" i="9"/>
  <c r="O124" i="9"/>
  <c r="L122" i="9"/>
  <c r="O122" i="9" s="1"/>
  <c r="M171" i="9"/>
  <c r="P171" i="9" s="1"/>
  <c r="N317" i="9"/>
  <c r="N315" i="9" s="1"/>
  <c r="N348" i="9"/>
  <c r="P348" i="9" s="1"/>
  <c r="M351" i="9"/>
  <c r="P351" i="9" s="1"/>
  <c r="K355" i="9"/>
  <c r="O394" i="9"/>
  <c r="L392" i="9"/>
  <c r="O392" i="9" s="1"/>
  <c r="N408" i="9"/>
  <c r="P44" i="8"/>
  <c r="P152" i="8"/>
  <c r="O154" i="8"/>
  <c r="M321" i="8"/>
  <c r="P321" i="8" s="1"/>
  <c r="L36" i="9"/>
  <c r="M44" i="9"/>
  <c r="P44" i="9" s="1"/>
  <c r="O58" i="9"/>
  <c r="N68" i="9"/>
  <c r="N66" i="9" s="1"/>
  <c r="K143" i="9"/>
  <c r="I131" i="9"/>
  <c r="K131" i="9" s="1"/>
  <c r="L155" i="9"/>
  <c r="O155" i="9" s="1"/>
  <c r="L151" i="9"/>
  <c r="O157" i="9"/>
  <c r="L263" i="9"/>
  <c r="O407" i="9"/>
  <c r="L404" i="9"/>
  <c r="O404" i="9" s="1"/>
  <c r="K821" i="9"/>
  <c r="K824" i="9"/>
  <c r="K827" i="9"/>
  <c r="K647" i="8"/>
  <c r="P56" i="9"/>
  <c r="P157" i="9"/>
  <c r="M151" i="9"/>
  <c r="M149" i="9" s="1"/>
  <c r="O269" i="9"/>
  <c r="L267" i="9"/>
  <c r="O267" i="9" s="1"/>
  <c r="O282" i="9"/>
  <c r="L279" i="9"/>
  <c r="P333" i="9"/>
  <c r="M331" i="9"/>
  <c r="P331" i="9" s="1"/>
  <c r="K378" i="9"/>
  <c r="M404" i="9"/>
  <c r="P404" i="9" s="1"/>
  <c r="P407" i="9"/>
  <c r="P264" i="8"/>
  <c r="K374" i="8"/>
  <c r="L238" i="9"/>
  <c r="O238" i="9" s="1"/>
  <c r="N264" i="9"/>
  <c r="N263" i="9"/>
  <c r="N261" i="9" s="1"/>
  <c r="P282" i="9"/>
  <c r="M279" i="9"/>
  <c r="M280" i="9"/>
  <c r="P280" i="9" s="1"/>
  <c r="L300" i="9"/>
  <c r="K362" i="9"/>
  <c r="L198" i="9"/>
  <c r="O198" i="9" s="1"/>
  <c r="L230" i="9"/>
  <c r="O280" i="9"/>
  <c r="L469" i="9"/>
  <c r="L467" i="9" s="1"/>
  <c r="O467" i="9" s="1"/>
  <c r="K701" i="9"/>
  <c r="K723" i="9"/>
  <c r="P186" i="9"/>
  <c r="L183" i="9"/>
  <c r="M263" i="9"/>
  <c r="M300" i="9"/>
  <c r="M334" i="9"/>
  <c r="P334" i="9" s="1"/>
  <c r="J364" i="9"/>
  <c r="N391" i="9"/>
  <c r="N389" i="9" s="1"/>
  <c r="O431" i="9"/>
  <c r="K720" i="9"/>
  <c r="I785" i="9"/>
  <c r="J143" i="9"/>
  <c r="J131" i="9" s="1"/>
  <c r="P152" i="9"/>
  <c r="N279" i="9"/>
  <c r="N277" i="9" s="1"/>
  <c r="K372" i="9"/>
  <c r="K669" i="9"/>
  <c r="L209" i="9"/>
  <c r="O209" i="9" s="1"/>
  <c r="P350" i="9"/>
  <c r="K725" i="9"/>
  <c r="K728" i="9"/>
  <c r="O124" i="8"/>
  <c r="O137" i="8"/>
  <c r="I148" i="8"/>
  <c r="K148" i="8" s="1"/>
  <c r="L300" i="8"/>
  <c r="L298" i="8" s="1"/>
  <c r="O182" i="9"/>
  <c r="O449" i="9"/>
  <c r="L446" i="9"/>
  <c r="L447" i="9"/>
  <c r="O447" i="9" s="1"/>
  <c r="L33" i="9"/>
  <c r="L31" i="9" s="1"/>
  <c r="O31" i="9" s="1"/>
  <c r="M68" i="8"/>
  <c r="M66" i="8" s="1"/>
  <c r="L209" i="8"/>
  <c r="O209" i="8" s="1"/>
  <c r="M330" i="8"/>
  <c r="M328" i="8" s="1"/>
  <c r="O348" i="8"/>
  <c r="M408" i="8"/>
  <c r="P408" i="8" s="1"/>
  <c r="M23" i="9"/>
  <c r="P29" i="9"/>
  <c r="M28" i="9"/>
  <c r="P28" i="9" s="1"/>
  <c r="N59" i="9"/>
  <c r="N26" i="9"/>
  <c r="M91" i="9"/>
  <c r="P91" i="9" s="1"/>
  <c r="N155" i="9"/>
  <c r="N151" i="9"/>
  <c r="P262" i="9"/>
  <c r="L321" i="9"/>
  <c r="O321" i="9" s="1"/>
  <c r="O323" i="9"/>
  <c r="J592" i="9"/>
  <c r="K592" i="9" s="1"/>
  <c r="K593" i="9"/>
  <c r="P772" i="9"/>
  <c r="M770" i="9"/>
  <c r="P770" i="9" s="1"/>
  <c r="O806" i="9"/>
  <c r="L805" i="9"/>
  <c r="O805" i="9" s="1"/>
  <c r="I276" i="7"/>
  <c r="K276" i="7" s="1"/>
  <c r="P15" i="9"/>
  <c r="O89" i="9"/>
  <c r="L94" i="9"/>
  <c r="O94" i="9" s="1"/>
  <c r="O96" i="9"/>
  <c r="P807" i="9"/>
  <c r="M805" i="9"/>
  <c r="P805" i="9" s="1"/>
  <c r="O528" i="6"/>
  <c r="L658" i="6"/>
  <c r="O658" i="6" s="1"/>
  <c r="K385" i="7"/>
  <c r="M47" i="8"/>
  <c r="P47" i="8" s="1"/>
  <c r="L55" i="8"/>
  <c r="L53" i="8" s="1"/>
  <c r="M72" i="8"/>
  <c r="P72" i="8" s="1"/>
  <c r="K260" i="8"/>
  <c r="O266" i="8"/>
  <c r="K325" i="8"/>
  <c r="M331" i="8"/>
  <c r="P331" i="8" s="1"/>
  <c r="K435" i="8"/>
  <c r="K462" i="8"/>
  <c r="N23" i="9"/>
  <c r="O49" i="9"/>
  <c r="L26" i="9"/>
  <c r="L72" i="9"/>
  <c r="O72" i="9" s="1"/>
  <c r="M94" i="9"/>
  <c r="P94" i="9" s="1"/>
  <c r="L135" i="9"/>
  <c r="O135" i="9" s="1"/>
  <c r="K248" i="9"/>
  <c r="P320" i="9"/>
  <c r="M317" i="9"/>
  <c r="P317" i="9" s="1"/>
  <c r="P323" i="9"/>
  <c r="M321" i="9"/>
  <c r="P321" i="9" s="1"/>
  <c r="I77" i="8"/>
  <c r="K77" i="8" s="1"/>
  <c r="O69" i="8"/>
  <c r="P91" i="8"/>
  <c r="I275" i="8"/>
  <c r="N279" i="8"/>
  <c r="N277" i="8" s="1"/>
  <c r="O285" i="8"/>
  <c r="M392" i="8"/>
  <c r="P392" i="8" s="1"/>
  <c r="O22" i="9"/>
  <c r="L19" i="9"/>
  <c r="L12" i="9"/>
  <c r="L134" i="9"/>
  <c r="L138" i="9"/>
  <c r="O138" i="9" s="1"/>
  <c r="L168" i="9"/>
  <c r="O168" i="9" s="1"/>
  <c r="O170" i="9"/>
  <c r="L167" i="9"/>
  <c r="K204" i="9"/>
  <c r="I197" i="9"/>
  <c r="K197" i="9" s="1"/>
  <c r="K360" i="9"/>
  <c r="M467" i="9"/>
  <c r="P467" i="9" s="1"/>
  <c r="P468" i="9"/>
  <c r="O503" i="9"/>
  <c r="L502" i="9"/>
  <c r="O502" i="9" s="1"/>
  <c r="L632" i="9"/>
  <c r="O632" i="9" s="1"/>
  <c r="O634" i="9"/>
  <c r="N28" i="9"/>
  <c r="N121" i="9"/>
  <c r="N119" i="9" s="1"/>
  <c r="I164" i="9"/>
  <c r="K164" i="9" s="1"/>
  <c r="K174" i="9"/>
  <c r="L395" i="7"/>
  <c r="O395" i="7" s="1"/>
  <c r="I112" i="8"/>
  <c r="K112" i="8" s="1"/>
  <c r="L151" i="8"/>
  <c r="L149" i="8" s="1"/>
  <c r="O152" i="8"/>
  <c r="L231" i="8"/>
  <c r="I276" i="8"/>
  <c r="K276" i="8" s="1"/>
  <c r="P22" i="9"/>
  <c r="M19" i="9"/>
  <c r="M12" i="9"/>
  <c r="P35" i="9"/>
  <c r="M34" i="9"/>
  <c r="P34" i="9" s="1"/>
  <c r="L23" i="9"/>
  <c r="O46" i="9"/>
  <c r="M90" i="9"/>
  <c r="L91" i="9"/>
  <c r="O91" i="9" s="1"/>
  <c r="O93" i="9"/>
  <c r="I130" i="9"/>
  <c r="K130" i="9" s="1"/>
  <c r="K146" i="9"/>
  <c r="P170" i="9"/>
  <c r="M168" i="9"/>
  <c r="P168" i="9" s="1"/>
  <c r="L171" i="9"/>
  <c r="O171" i="9" s="1"/>
  <c r="O173" i="9"/>
  <c r="O316" i="9"/>
  <c r="M502" i="9"/>
  <c r="P502" i="9" s="1"/>
  <c r="P503" i="9"/>
  <c r="L631" i="9"/>
  <c r="O631" i="9" s="1"/>
  <c r="P58" i="9"/>
  <c r="P61" i="9"/>
  <c r="P124" i="9"/>
  <c r="P127" i="9"/>
  <c r="O166" i="9"/>
  <c r="O333" i="9"/>
  <c r="L330" i="9"/>
  <c r="O350" i="9"/>
  <c r="L347" i="9"/>
  <c r="O771" i="9"/>
  <c r="L770" i="9"/>
  <c r="O770" i="9" s="1"/>
  <c r="M26" i="9"/>
  <c r="I77" i="9"/>
  <c r="L334" i="9"/>
  <c r="O334" i="9" s="1"/>
  <c r="O336" i="9"/>
  <c r="L351" i="9"/>
  <c r="O351" i="9" s="1"/>
  <c r="O353" i="9"/>
  <c r="P419" i="9"/>
  <c r="O424" i="9"/>
  <c r="L421" i="9"/>
  <c r="O524" i="9"/>
  <c r="K651" i="9"/>
  <c r="I628" i="9"/>
  <c r="K628" i="9" s="1"/>
  <c r="M183" i="9"/>
  <c r="L184" i="9"/>
  <c r="O186" i="9"/>
  <c r="K365" i="9"/>
  <c r="I364" i="9"/>
  <c r="L422" i="9"/>
  <c r="O422" i="9" s="1"/>
  <c r="P524" i="9"/>
  <c r="M523" i="9"/>
  <c r="P523" i="9" s="1"/>
  <c r="J537" i="9"/>
  <c r="J522" i="9" s="1"/>
  <c r="L547" i="9"/>
  <c r="O547" i="9" s="1"/>
  <c r="O549" i="9"/>
  <c r="N632" i="9"/>
  <c r="O660" i="9"/>
  <c r="L688" i="9"/>
  <c r="O688" i="9" s="1"/>
  <c r="L687" i="9"/>
  <c r="O690" i="9"/>
  <c r="L187" i="9"/>
  <c r="O187" i="9" s="1"/>
  <c r="O189" i="9"/>
  <c r="L228" i="9"/>
  <c r="L249" i="9"/>
  <c r="O249" i="9" s="1"/>
  <c r="L318" i="9"/>
  <c r="O318" i="9" s="1"/>
  <c r="O320" i="9"/>
  <c r="P394" i="9"/>
  <c r="M392" i="9"/>
  <c r="P392" i="9" s="1"/>
  <c r="J433" i="9"/>
  <c r="J417" i="9" s="1"/>
  <c r="K435" i="9"/>
  <c r="I433" i="9"/>
  <c r="O468" i="9"/>
  <c r="N657" i="9"/>
  <c r="O657" i="9" s="1"/>
  <c r="N658" i="9"/>
  <c r="P154" i="9"/>
  <c r="P266" i="9"/>
  <c r="P269" i="9"/>
  <c r="P303" i="9"/>
  <c r="P306" i="9"/>
  <c r="K576" i="9"/>
  <c r="M685" i="9"/>
  <c r="P685" i="9" s="1"/>
  <c r="P686" i="9"/>
  <c r="O755" i="9"/>
  <c r="L754" i="9"/>
  <c r="O754" i="9" s="1"/>
  <c r="K176" i="9"/>
  <c r="M330" i="9"/>
  <c r="M347" i="9"/>
  <c r="I443" i="9"/>
  <c r="K443" i="9" s="1"/>
  <c r="M544" i="9"/>
  <c r="P544" i="9" s="1"/>
  <c r="K568" i="9"/>
  <c r="O738" i="9"/>
  <c r="L737" i="9"/>
  <c r="O737" i="9" s="1"/>
  <c r="N805" i="9"/>
  <c r="K726" i="9"/>
  <c r="J721" i="9"/>
  <c r="K721" i="9" s="1"/>
  <c r="K385" i="9"/>
  <c r="O528" i="9"/>
  <c r="N629" i="9"/>
  <c r="O641" i="9"/>
  <c r="O656" i="9"/>
  <c r="L655" i="9"/>
  <c r="K675" i="9"/>
  <c r="K674" i="9"/>
  <c r="K672" i="9"/>
  <c r="K673" i="9"/>
  <c r="P787" i="9"/>
  <c r="L789" i="9"/>
  <c r="O789" i="9" s="1"/>
  <c r="I522" i="3"/>
  <c r="K522" i="3" s="1"/>
  <c r="M330" i="5"/>
  <c r="M328" i="5" s="1"/>
  <c r="I148" i="7"/>
  <c r="K148" i="7" s="1"/>
  <c r="L152" i="7"/>
  <c r="O152" i="7" s="1"/>
  <c r="L187" i="7"/>
  <c r="O187" i="7" s="1"/>
  <c r="M395" i="7"/>
  <c r="P395" i="7" s="1"/>
  <c r="K115" i="8"/>
  <c r="L121" i="8"/>
  <c r="O121" i="8" s="1"/>
  <c r="M155" i="8"/>
  <c r="P155" i="8" s="1"/>
  <c r="N151" i="8"/>
  <c r="N149" i="8" s="1"/>
  <c r="I216" i="8"/>
  <c r="K216" i="8" s="1"/>
  <c r="K309" i="8"/>
  <c r="L334" i="8"/>
  <c r="O334" i="8" s="1"/>
  <c r="O449" i="8"/>
  <c r="L228" i="7"/>
  <c r="K338" i="7"/>
  <c r="M26" i="8"/>
  <c r="M24" i="8" s="1"/>
  <c r="L230" i="8"/>
  <c r="P280" i="8"/>
  <c r="J327" i="8"/>
  <c r="K327" i="8" s="1"/>
  <c r="M351" i="8"/>
  <c r="K369" i="8"/>
  <c r="K821" i="8"/>
  <c r="K824" i="8"/>
  <c r="K827" i="8"/>
  <c r="O140" i="8"/>
  <c r="M151" i="8"/>
  <c r="M149" i="8" s="1"/>
  <c r="L330" i="8"/>
  <c r="L328" i="8" s="1"/>
  <c r="O410" i="8"/>
  <c r="L134" i="8"/>
  <c r="L132" i="8" s="1"/>
  <c r="O132" i="8" s="1"/>
  <c r="L198" i="8"/>
  <c r="O198" i="8" s="1"/>
  <c r="I208" i="8"/>
  <c r="K208" i="8" s="1"/>
  <c r="K338" i="8"/>
  <c r="I364" i="8"/>
  <c r="K385" i="8"/>
  <c r="L395" i="8"/>
  <c r="O395" i="8" s="1"/>
  <c r="L657" i="8"/>
  <c r="J722" i="8"/>
  <c r="N68" i="8"/>
  <c r="K87" i="8"/>
  <c r="M125" i="8"/>
  <c r="P125" i="8" s="1"/>
  <c r="N134" i="8"/>
  <c r="N132" i="8" s="1"/>
  <c r="J143" i="8"/>
  <c r="J131" i="8" s="1"/>
  <c r="L217" i="8"/>
  <c r="O217" i="8" s="1"/>
  <c r="O301" i="8"/>
  <c r="K381" i="8"/>
  <c r="P71" i="8"/>
  <c r="M69" i="8"/>
  <c r="P69" i="8" s="1"/>
  <c r="L454" i="2"/>
  <c r="O454" i="2" s="1"/>
  <c r="M72" i="7"/>
  <c r="P72" i="7" s="1"/>
  <c r="M347" i="7"/>
  <c r="M345" i="7" s="1"/>
  <c r="O791" i="7"/>
  <c r="L788" i="7"/>
  <c r="O788" i="7" s="1"/>
  <c r="P137" i="8"/>
  <c r="M134" i="8"/>
  <c r="L279" i="8"/>
  <c r="L277" i="8" s="1"/>
  <c r="M391" i="8"/>
  <c r="P391" i="8" s="1"/>
  <c r="L33" i="8"/>
  <c r="O33" i="8" s="1"/>
  <c r="O456" i="8"/>
  <c r="L36" i="8"/>
  <c r="M171" i="8"/>
  <c r="P171" i="8" s="1"/>
  <c r="P173" i="8"/>
  <c r="I592" i="8"/>
  <c r="K592" i="8" s="1"/>
  <c r="K593" i="8"/>
  <c r="I130" i="6"/>
  <c r="K130" i="6" s="1"/>
  <c r="K700" i="6"/>
  <c r="L55" i="7"/>
  <c r="L53" i="7" s="1"/>
  <c r="L90" i="7"/>
  <c r="L88" i="7" s="1"/>
  <c r="L155" i="7"/>
  <c r="O155" i="7" s="1"/>
  <c r="L231" i="7"/>
  <c r="N263" i="7"/>
  <c r="N261" i="7" s="1"/>
  <c r="L304" i="7"/>
  <c r="O304" i="7" s="1"/>
  <c r="L347" i="7"/>
  <c r="L345" i="7" s="1"/>
  <c r="K370" i="7"/>
  <c r="L789" i="7"/>
  <c r="O789" i="7" s="1"/>
  <c r="M121" i="8"/>
  <c r="I190" i="8"/>
  <c r="K190" i="8" s="1"/>
  <c r="N263" i="8"/>
  <c r="N261" i="8" s="1"/>
  <c r="P269" i="8"/>
  <c r="M263" i="8"/>
  <c r="M318" i="8"/>
  <c r="P318" i="8" s="1"/>
  <c r="K379" i="8"/>
  <c r="M395" i="8"/>
  <c r="P395" i="8" s="1"/>
  <c r="L405" i="8"/>
  <c r="O405" i="8" s="1"/>
  <c r="O407" i="8"/>
  <c r="L631" i="8"/>
  <c r="O631" i="8" s="1"/>
  <c r="K672" i="8"/>
  <c r="N334" i="8"/>
  <c r="N330" i="8"/>
  <c r="N328" i="8" s="1"/>
  <c r="I148" i="6"/>
  <c r="K148" i="6" s="1"/>
  <c r="L228" i="6"/>
  <c r="M183" i="7"/>
  <c r="M181" i="7" s="1"/>
  <c r="K647" i="7"/>
  <c r="L183" i="8"/>
  <c r="L181" i="8" s="1"/>
  <c r="O186" i="8"/>
  <c r="P320" i="8"/>
  <c r="I522" i="8"/>
  <c r="K522" i="8" s="1"/>
  <c r="K537" i="8"/>
  <c r="K823" i="8"/>
  <c r="K826" i="8"/>
  <c r="M392" i="5"/>
  <c r="P392" i="5" s="1"/>
  <c r="I216" i="6"/>
  <c r="K216" i="6" s="1"/>
  <c r="J143" i="7"/>
  <c r="J131" i="7" s="1"/>
  <c r="J275" i="7"/>
  <c r="L279" i="7"/>
  <c r="L277" i="7" s="1"/>
  <c r="J327" i="7"/>
  <c r="K327" i="7" s="1"/>
  <c r="I76" i="8"/>
  <c r="K76" i="8" s="1"/>
  <c r="L94" i="8"/>
  <c r="O94" i="8" s="1"/>
  <c r="O96" i="8"/>
  <c r="N121" i="8"/>
  <c r="N119" i="8" s="1"/>
  <c r="I174" i="8"/>
  <c r="K176" i="8"/>
  <c r="N183" i="8"/>
  <c r="N181" i="8" s="1"/>
  <c r="M184" i="8"/>
  <c r="P184" i="8" s="1"/>
  <c r="M183" i="8"/>
  <c r="M181" i="8" s="1"/>
  <c r="P186" i="8"/>
  <c r="P353" i="8"/>
  <c r="K673" i="8"/>
  <c r="K675" i="8"/>
  <c r="K647" i="6"/>
  <c r="O168" i="7"/>
  <c r="K340" i="7"/>
  <c r="O449" i="7"/>
  <c r="L446" i="7"/>
  <c r="O446" i="7" s="1"/>
  <c r="O71" i="8"/>
  <c r="L68" i="8"/>
  <c r="L66" i="8" s="1"/>
  <c r="N90" i="8"/>
  <c r="N88" i="8" s="1"/>
  <c r="P96" i="8"/>
  <c r="M90" i="8"/>
  <c r="O170" i="8"/>
  <c r="O173" i="8"/>
  <c r="L171" i="8"/>
  <c r="O171" i="8" s="1"/>
  <c r="I237" i="8"/>
  <c r="K237" i="8" s="1"/>
  <c r="N351" i="8"/>
  <c r="O351" i="8" s="1"/>
  <c r="N347" i="8"/>
  <c r="O791" i="8"/>
  <c r="L789" i="8"/>
  <c r="O789" i="8" s="1"/>
  <c r="J785" i="7"/>
  <c r="N23" i="8"/>
  <c r="N13" i="8" s="1"/>
  <c r="K100" i="8"/>
  <c r="O282" i="8"/>
  <c r="L347" i="8"/>
  <c r="L345" i="8" s="1"/>
  <c r="K359" i="8"/>
  <c r="J433" i="8"/>
  <c r="J417" i="8" s="1"/>
  <c r="K417" i="8" s="1"/>
  <c r="J721" i="8"/>
  <c r="O46" i="8"/>
  <c r="O91" i="8"/>
  <c r="P154" i="8"/>
  <c r="L238" i="8"/>
  <c r="O238" i="8" s="1"/>
  <c r="O264" i="8"/>
  <c r="O280" i="8"/>
  <c r="K355" i="8"/>
  <c r="K649" i="8"/>
  <c r="K822" i="8"/>
  <c r="K825" i="8"/>
  <c r="K828" i="8"/>
  <c r="L546" i="7"/>
  <c r="O546" i="7" s="1"/>
  <c r="P46" i="8"/>
  <c r="P93" i="8"/>
  <c r="K98" i="8"/>
  <c r="P266" i="8"/>
  <c r="N317" i="8"/>
  <c r="N315" i="8" s="1"/>
  <c r="K340" i="8"/>
  <c r="P127" i="6"/>
  <c r="M125" i="6"/>
  <c r="P125" i="6" s="1"/>
  <c r="I143" i="6"/>
  <c r="I131" i="6" s="1"/>
  <c r="K145" i="6"/>
  <c r="K115" i="7"/>
  <c r="I112" i="7"/>
  <c r="K112" i="7" s="1"/>
  <c r="N404" i="7"/>
  <c r="N402" i="7" s="1"/>
  <c r="N405" i="7"/>
  <c r="M68" i="7"/>
  <c r="M66" i="7" s="1"/>
  <c r="M69" i="7"/>
  <c r="O431" i="7"/>
  <c r="L36" i="7"/>
  <c r="O36" i="7" s="1"/>
  <c r="O394" i="7"/>
  <c r="L392" i="7"/>
  <c r="O392" i="7" s="1"/>
  <c r="O49" i="7"/>
  <c r="L47" i="7"/>
  <c r="O47" i="7" s="1"/>
  <c r="P285" i="7"/>
  <c r="M283" i="7"/>
  <c r="P283" i="7" s="1"/>
  <c r="N43" i="6"/>
  <c r="N41" i="6" s="1"/>
  <c r="M155" i="7"/>
  <c r="P155" i="7" s="1"/>
  <c r="K244" i="7"/>
  <c r="I237" i="7"/>
  <c r="K237" i="7" s="1"/>
  <c r="L19" i="8"/>
  <c r="J364" i="8"/>
  <c r="K365" i="8"/>
  <c r="I442" i="8"/>
  <c r="K442" i="8" s="1"/>
  <c r="K460" i="8"/>
  <c r="P71" i="7"/>
  <c r="N26" i="8"/>
  <c r="N16" i="8" s="1"/>
  <c r="N14" i="8" s="1"/>
  <c r="L44" i="8"/>
  <c r="O44" i="8" s="1"/>
  <c r="N59" i="8"/>
  <c r="O61" i="8"/>
  <c r="L331" i="8"/>
  <c r="O331" i="8" s="1"/>
  <c r="P525" i="8"/>
  <c r="M523" i="8"/>
  <c r="P523" i="8" s="1"/>
  <c r="P738" i="8"/>
  <c r="M737" i="8"/>
  <c r="P737" i="8" s="1"/>
  <c r="P771" i="8"/>
  <c r="M770" i="8"/>
  <c r="P770" i="8" s="1"/>
  <c r="P788" i="8"/>
  <c r="M786" i="8"/>
  <c r="P786" i="8" s="1"/>
  <c r="P807" i="8"/>
  <c r="M805" i="8"/>
  <c r="P805" i="8" s="1"/>
  <c r="L228" i="3"/>
  <c r="L263" i="3"/>
  <c r="L261" i="3" s="1"/>
  <c r="I275" i="6"/>
  <c r="L72" i="7"/>
  <c r="O72" i="7" s="1"/>
  <c r="L91" i="7"/>
  <c r="O91" i="7" s="1"/>
  <c r="K569" i="7"/>
  <c r="L631" i="7"/>
  <c r="O631" i="7" s="1"/>
  <c r="I785" i="7"/>
  <c r="K785" i="7" s="1"/>
  <c r="N12" i="8"/>
  <c r="L23" i="8"/>
  <c r="M31" i="8"/>
  <c r="P31" i="8" s="1"/>
  <c r="N55" i="8"/>
  <c r="P170" i="8"/>
  <c r="L228" i="8"/>
  <c r="M300" i="8"/>
  <c r="M298" i="8" s="1"/>
  <c r="M301" i="8"/>
  <c r="P301" i="8" s="1"/>
  <c r="O350" i="8"/>
  <c r="N404" i="8"/>
  <c r="N402" i="8" s="1"/>
  <c r="L477" i="8"/>
  <c r="O477" i="8" s="1"/>
  <c r="O479" i="8"/>
  <c r="L469" i="8"/>
  <c r="L467" i="8" s="1"/>
  <c r="L231" i="6"/>
  <c r="K276" i="6"/>
  <c r="L209" i="7"/>
  <c r="O209" i="7" s="1"/>
  <c r="L300" i="7"/>
  <c r="O300" i="7" s="1"/>
  <c r="M300" i="7"/>
  <c r="P300" i="7" s="1"/>
  <c r="K362" i="7"/>
  <c r="K628" i="7"/>
  <c r="L9" i="8"/>
  <c r="L15" i="8"/>
  <c r="M23" i="8"/>
  <c r="L29" i="8"/>
  <c r="M30" i="8"/>
  <c r="P30" i="8" s="1"/>
  <c r="L47" i="8"/>
  <c r="O47" i="8" s="1"/>
  <c r="O127" i="8"/>
  <c r="J226" i="8"/>
  <c r="J180" i="8" s="1"/>
  <c r="O269" i="8"/>
  <c r="O278" i="8"/>
  <c r="P282" i="8"/>
  <c r="N300" i="8"/>
  <c r="N298" i="8" s="1"/>
  <c r="O333" i="8"/>
  <c r="P346" i="8"/>
  <c r="N392" i="8"/>
  <c r="N391" i="8"/>
  <c r="N389" i="8" s="1"/>
  <c r="N788" i="8"/>
  <c r="N789" i="8"/>
  <c r="L263" i="8"/>
  <c r="L470" i="2"/>
  <c r="O470" i="2" s="1"/>
  <c r="O46" i="6"/>
  <c r="L155" i="6"/>
  <c r="O155" i="6" s="1"/>
  <c r="I297" i="7"/>
  <c r="K297" i="7" s="1"/>
  <c r="P353" i="7"/>
  <c r="K649" i="7"/>
  <c r="M15" i="8"/>
  <c r="M29" i="8"/>
  <c r="L43" i="8"/>
  <c r="P58" i="8"/>
  <c r="P67" i="8"/>
  <c r="L90" i="8"/>
  <c r="O93" i="8"/>
  <c r="K99" i="8"/>
  <c r="O157" i="8"/>
  <c r="M167" i="8"/>
  <c r="O182" i="8"/>
  <c r="P189" i="8"/>
  <c r="K204" i="8"/>
  <c r="I197" i="8"/>
  <c r="K197" i="8" s="1"/>
  <c r="N227" i="8"/>
  <c r="L249" i="8"/>
  <c r="O249" i="8" s="1"/>
  <c r="J275" i="8"/>
  <c r="K288" i="8"/>
  <c r="P303" i="8"/>
  <c r="P329" i="8"/>
  <c r="P403" i="8"/>
  <c r="L422" i="8"/>
  <c r="O422" i="8" s="1"/>
  <c r="O424" i="8"/>
  <c r="L421" i="8"/>
  <c r="P755" i="8"/>
  <c r="M754" i="8"/>
  <c r="P754" i="8" s="1"/>
  <c r="N786" i="8"/>
  <c r="M405" i="8"/>
  <c r="P405" i="8" s="1"/>
  <c r="M404" i="8"/>
  <c r="P404" i="8" s="1"/>
  <c r="N279" i="6"/>
  <c r="N277" i="6" s="1"/>
  <c r="N330" i="6"/>
  <c r="N328" i="6" s="1"/>
  <c r="K378" i="7"/>
  <c r="L26" i="8"/>
  <c r="N56" i="8"/>
  <c r="O58" i="8"/>
  <c r="I130" i="8"/>
  <c r="K130" i="8" s="1"/>
  <c r="K146" i="8"/>
  <c r="O184" i="8"/>
  <c r="M279" i="8"/>
  <c r="P299" i="8"/>
  <c r="O320" i="8"/>
  <c r="L317" i="8"/>
  <c r="O317" i="8" s="1"/>
  <c r="O686" i="8"/>
  <c r="O468" i="8"/>
  <c r="O470" i="8"/>
  <c r="P687" i="8"/>
  <c r="M685" i="8"/>
  <c r="P685" i="8" s="1"/>
  <c r="O787" i="8"/>
  <c r="L786" i="8"/>
  <c r="O786" i="8" s="1"/>
  <c r="I785" i="8"/>
  <c r="K785" i="8" s="1"/>
  <c r="K800" i="8"/>
  <c r="O806" i="8"/>
  <c r="L805" i="8"/>
  <c r="O805" i="8" s="1"/>
  <c r="I143" i="8"/>
  <c r="I233" i="8"/>
  <c r="K233" i="8" s="1"/>
  <c r="I248" i="8"/>
  <c r="O353" i="8"/>
  <c r="L391" i="8"/>
  <c r="O472" i="8"/>
  <c r="N469" i="8"/>
  <c r="N467" i="8" s="1"/>
  <c r="N414" i="8" s="1"/>
  <c r="K561" i="8"/>
  <c r="I543" i="8"/>
  <c r="K543" i="8" s="1"/>
  <c r="K559" i="8"/>
  <c r="L632" i="8"/>
  <c r="O632" i="8" s="1"/>
  <c r="O634" i="8"/>
  <c r="O306" i="8"/>
  <c r="O303" i="8"/>
  <c r="I434" i="8"/>
  <c r="K438" i="8"/>
  <c r="L446" i="8"/>
  <c r="O524" i="8"/>
  <c r="J537" i="8"/>
  <c r="J522" i="8" s="1"/>
  <c r="K539" i="8"/>
  <c r="N544" i="8"/>
  <c r="K628" i="8"/>
  <c r="N685" i="8"/>
  <c r="O545" i="8"/>
  <c r="L555" i="8"/>
  <c r="O555" i="8" s="1"/>
  <c r="I654" i="8"/>
  <c r="K654" i="8" s="1"/>
  <c r="P656" i="8"/>
  <c r="L658" i="8"/>
  <c r="O658" i="8" s="1"/>
  <c r="L502" i="8"/>
  <c r="O502" i="8" s="1"/>
  <c r="L533" i="8"/>
  <c r="O533" i="8" s="1"/>
  <c r="L546" i="8"/>
  <c r="O546" i="8" s="1"/>
  <c r="M629" i="8"/>
  <c r="P629" i="8" s="1"/>
  <c r="M502" i="8"/>
  <c r="K576" i="8"/>
  <c r="K651" i="8"/>
  <c r="L525" i="8"/>
  <c r="O525" i="8" s="1"/>
  <c r="M545" i="8"/>
  <c r="K669" i="8"/>
  <c r="L687" i="8"/>
  <c r="O687" i="8" s="1"/>
  <c r="O140" i="5"/>
  <c r="N404" i="5"/>
  <c r="N402" i="5" s="1"/>
  <c r="L470" i="5"/>
  <c r="O470" i="5" s="1"/>
  <c r="P44" i="6"/>
  <c r="O137" i="6"/>
  <c r="I233" i="6"/>
  <c r="K233" i="6" s="1"/>
  <c r="N121" i="7"/>
  <c r="N119" i="7" s="1"/>
  <c r="P168" i="7"/>
  <c r="N317" i="7"/>
  <c r="N315" i="7" s="1"/>
  <c r="P394" i="7"/>
  <c r="M391" i="7"/>
  <c r="M389" i="7" s="1"/>
  <c r="P389" i="7" s="1"/>
  <c r="L526" i="3"/>
  <c r="O526" i="3" s="1"/>
  <c r="I248" i="6"/>
  <c r="K248" i="6" s="1"/>
  <c r="K255" i="6"/>
  <c r="I559" i="2"/>
  <c r="K559" i="2" s="1"/>
  <c r="P154" i="7"/>
  <c r="M151" i="7"/>
  <c r="P151" i="7" s="1"/>
  <c r="M152" i="7"/>
  <c r="P152" i="7" s="1"/>
  <c r="O336" i="7"/>
  <c r="L334" i="7"/>
  <c r="O334" i="7" s="1"/>
  <c r="K537" i="7"/>
  <c r="I522" i="7"/>
  <c r="K522" i="7" s="1"/>
  <c r="P173" i="6"/>
  <c r="O58" i="7"/>
  <c r="N56" i="7"/>
  <c r="O56" i="7" s="1"/>
  <c r="P46" i="7"/>
  <c r="N44" i="7"/>
  <c r="P44" i="7" s="1"/>
  <c r="K439" i="7"/>
  <c r="J433" i="7"/>
  <c r="J417" i="7" s="1"/>
  <c r="K417" i="7" s="1"/>
  <c r="L171" i="7"/>
  <c r="O171" i="7" s="1"/>
  <c r="O186" i="7"/>
  <c r="O285" i="7"/>
  <c r="N300" i="7"/>
  <c r="N298" i="7" s="1"/>
  <c r="K374" i="7"/>
  <c r="N391" i="7"/>
  <c r="N389" i="7" s="1"/>
  <c r="J722" i="7"/>
  <c r="K821" i="7"/>
  <c r="K824" i="7"/>
  <c r="K827" i="7"/>
  <c r="P186" i="7"/>
  <c r="O280" i="7"/>
  <c r="M334" i="7"/>
  <c r="P334" i="7" s="1"/>
  <c r="O353" i="7"/>
  <c r="K379" i="7"/>
  <c r="L391" i="7"/>
  <c r="O391" i="7" s="1"/>
  <c r="K543" i="7"/>
  <c r="L217" i="7"/>
  <c r="O217" i="7" s="1"/>
  <c r="L249" i="7"/>
  <c r="O249" i="7" s="1"/>
  <c r="P282" i="7"/>
  <c r="I364" i="7"/>
  <c r="P333" i="6"/>
  <c r="P280" i="7"/>
  <c r="P333" i="7"/>
  <c r="M351" i="7"/>
  <c r="P351" i="7" s="1"/>
  <c r="K360" i="7"/>
  <c r="K369" i="7"/>
  <c r="L405" i="7"/>
  <c r="O405" i="7" s="1"/>
  <c r="I131" i="7"/>
  <c r="I314" i="4"/>
  <c r="K314" i="4" s="1"/>
  <c r="M395" i="5"/>
  <c r="P395" i="5" s="1"/>
  <c r="N43" i="7"/>
  <c r="N41" i="7" s="1"/>
  <c r="P91" i="7"/>
  <c r="P93" i="7"/>
  <c r="M122" i="7"/>
  <c r="P122" i="7" s="1"/>
  <c r="O137" i="7"/>
  <c r="K145" i="7"/>
  <c r="N151" i="7"/>
  <c r="N149" i="7" s="1"/>
  <c r="P173" i="7"/>
  <c r="L184" i="7"/>
  <c r="O184" i="7" s="1"/>
  <c r="P189" i="7"/>
  <c r="K193" i="7"/>
  <c r="L198" i="7"/>
  <c r="O198" i="7" s="1"/>
  <c r="K215" i="7"/>
  <c r="L301" i="7"/>
  <c r="O301" i="7" s="1"/>
  <c r="L321" i="7"/>
  <c r="O321" i="7" s="1"/>
  <c r="L330" i="7"/>
  <c r="M331" i="7"/>
  <c r="P331" i="7" s="1"/>
  <c r="O333" i="7"/>
  <c r="N347" i="7"/>
  <c r="N345" i="7" s="1"/>
  <c r="P350" i="7"/>
  <c r="L421" i="7"/>
  <c r="O421" i="7" s="1"/>
  <c r="L429" i="7"/>
  <c r="O429" i="7" s="1"/>
  <c r="K435" i="7"/>
  <c r="L639" i="2"/>
  <c r="O639" i="2" s="1"/>
  <c r="O173" i="4"/>
  <c r="N90" i="5"/>
  <c r="N88" i="5" s="1"/>
  <c r="N151" i="5"/>
  <c r="N149" i="5" s="1"/>
  <c r="L657" i="5"/>
  <c r="O657" i="5" s="1"/>
  <c r="L392" i="6"/>
  <c r="O392" i="6" s="1"/>
  <c r="L395" i="6"/>
  <c r="O395" i="6" s="1"/>
  <c r="N23" i="7"/>
  <c r="N13" i="7" s="1"/>
  <c r="L33" i="7"/>
  <c r="L31" i="7" s="1"/>
  <c r="O31" i="7" s="1"/>
  <c r="N68" i="7"/>
  <c r="N66" i="7" s="1"/>
  <c r="L68" i="7"/>
  <c r="L66" i="7" s="1"/>
  <c r="N90" i="7"/>
  <c r="N88" i="7" s="1"/>
  <c r="P127" i="7"/>
  <c r="M184" i="7"/>
  <c r="P184" i="7" s="1"/>
  <c r="I216" i="7"/>
  <c r="K216" i="7" s="1"/>
  <c r="O282" i="7"/>
  <c r="L317" i="7"/>
  <c r="O317" i="7" s="1"/>
  <c r="M330" i="7"/>
  <c r="L351" i="7"/>
  <c r="O351" i="7" s="1"/>
  <c r="O410" i="7"/>
  <c r="L470" i="7"/>
  <c r="O470" i="7" s="1"/>
  <c r="O472" i="7"/>
  <c r="L469" i="7"/>
  <c r="K651" i="7"/>
  <c r="I76" i="7"/>
  <c r="I64" i="7" s="1"/>
  <c r="K64" i="7" s="1"/>
  <c r="L330" i="5"/>
  <c r="L328" i="5" s="1"/>
  <c r="N347" i="6"/>
  <c r="N345" i="6" s="1"/>
  <c r="K370" i="6"/>
  <c r="L446" i="6"/>
  <c r="O446" i="6" s="1"/>
  <c r="L69" i="7"/>
  <c r="M167" i="7"/>
  <c r="M165" i="7" s="1"/>
  <c r="I197" i="7"/>
  <c r="K197" i="7" s="1"/>
  <c r="L238" i="7"/>
  <c r="O238" i="7" s="1"/>
  <c r="L263" i="7"/>
  <c r="M263" i="7"/>
  <c r="M261" i="7" s="1"/>
  <c r="M317" i="7"/>
  <c r="N330" i="7"/>
  <c r="N328" i="7" s="1"/>
  <c r="K359" i="7"/>
  <c r="L404" i="7"/>
  <c r="O456" i="7"/>
  <c r="L454" i="7"/>
  <c r="O454" i="7" s="1"/>
  <c r="M279" i="4"/>
  <c r="M277" i="4" s="1"/>
  <c r="L90" i="5"/>
  <c r="L88" i="5" s="1"/>
  <c r="L151" i="5"/>
  <c r="L149" i="5" s="1"/>
  <c r="J721" i="5"/>
  <c r="N135" i="6"/>
  <c r="O135" i="6" s="1"/>
  <c r="N134" i="6"/>
  <c r="N132" i="6" s="1"/>
  <c r="M59" i="7"/>
  <c r="P59" i="7" s="1"/>
  <c r="N69" i="7"/>
  <c r="L134" i="7"/>
  <c r="L132" i="7" s="1"/>
  <c r="K144" i="7"/>
  <c r="N264" i="7"/>
  <c r="O264" i="7" s="1"/>
  <c r="L267" i="7"/>
  <c r="O267" i="7" s="1"/>
  <c r="M279" i="7"/>
  <c r="M277" i="7" s="1"/>
  <c r="L318" i="7"/>
  <c r="O318" i="7" s="1"/>
  <c r="M348" i="7"/>
  <c r="P348" i="7" s="1"/>
  <c r="O348" i="7"/>
  <c r="K355" i="7"/>
  <c r="I260" i="5"/>
  <c r="K260" i="5" s="1"/>
  <c r="O528" i="5"/>
  <c r="N138" i="6"/>
  <c r="O138" i="6" s="1"/>
  <c r="L229" i="6"/>
  <c r="L122" i="7"/>
  <c r="O122" i="7" s="1"/>
  <c r="M318" i="7"/>
  <c r="P318" i="7" s="1"/>
  <c r="O331" i="7"/>
  <c r="O350" i="7"/>
  <c r="O557" i="7"/>
  <c r="K561" i="7"/>
  <c r="K559" i="7"/>
  <c r="O660" i="7"/>
  <c r="K823" i="7"/>
  <c r="K577" i="7"/>
  <c r="L657" i="7"/>
  <c r="L68" i="6"/>
  <c r="L66" i="6" s="1"/>
  <c r="L72" i="6"/>
  <c r="O72" i="6" s="1"/>
  <c r="P186" i="6"/>
  <c r="O29" i="7"/>
  <c r="N138" i="7"/>
  <c r="O138" i="7" s="1"/>
  <c r="P140" i="7"/>
  <c r="N134" i="7"/>
  <c r="N132" i="7" s="1"/>
  <c r="O140" i="7"/>
  <c r="K325" i="7"/>
  <c r="I314" i="7"/>
  <c r="K314" i="7" s="1"/>
  <c r="M26" i="7"/>
  <c r="M24" i="7" s="1"/>
  <c r="P49" i="7"/>
  <c r="M43" i="7"/>
  <c r="M56" i="7"/>
  <c r="P58" i="7"/>
  <c r="M23" i="7"/>
  <c r="M55" i="7"/>
  <c r="M53" i="7" s="1"/>
  <c r="M94" i="7"/>
  <c r="P94" i="7" s="1"/>
  <c r="O150" i="7"/>
  <c r="N122" i="4"/>
  <c r="N121" i="4"/>
  <c r="N119" i="4" s="1"/>
  <c r="P25" i="7"/>
  <c r="M15" i="7"/>
  <c r="M47" i="7"/>
  <c r="P47" i="7" s="1"/>
  <c r="O67" i="7"/>
  <c r="O170" i="7"/>
  <c r="L167" i="7"/>
  <c r="O806" i="7"/>
  <c r="L805" i="7"/>
  <c r="O805" i="7" s="1"/>
  <c r="N55" i="3"/>
  <c r="N53" i="3" s="1"/>
  <c r="M59" i="6"/>
  <c r="P59" i="6" s="1"/>
  <c r="P61" i="6"/>
  <c r="P12" i="7"/>
  <c r="M9" i="7"/>
  <c r="O46" i="7"/>
  <c r="L43" i="7"/>
  <c r="L23" i="7"/>
  <c r="L21" i="7" s="1"/>
  <c r="I87" i="7"/>
  <c r="K87" i="7" s="1"/>
  <c r="K99" i="7"/>
  <c r="O127" i="7"/>
  <c r="L26" i="7"/>
  <c r="M135" i="7"/>
  <c r="P135" i="7" s="1"/>
  <c r="P137" i="7"/>
  <c r="M134" i="7"/>
  <c r="I174" i="7"/>
  <c r="K176" i="7"/>
  <c r="M408" i="7"/>
  <c r="P408" i="7" s="1"/>
  <c r="P410" i="7"/>
  <c r="M404" i="7"/>
  <c r="P404" i="7" s="1"/>
  <c r="L155" i="3"/>
  <c r="O155" i="3" s="1"/>
  <c r="O336" i="5"/>
  <c r="L334" i="5"/>
  <c r="O334" i="5" s="1"/>
  <c r="M334" i="6"/>
  <c r="P334" i="6" s="1"/>
  <c r="P336" i="6"/>
  <c r="P19" i="7"/>
  <c r="L44" i="7"/>
  <c r="N59" i="7"/>
  <c r="N26" i="7"/>
  <c r="N55" i="7"/>
  <c r="N53" i="7" s="1"/>
  <c r="K111" i="7"/>
  <c r="P120" i="7"/>
  <c r="L125" i="7"/>
  <c r="O125" i="7" s="1"/>
  <c r="O135" i="7"/>
  <c r="P403" i="7"/>
  <c r="L69" i="5"/>
  <c r="O69" i="5" s="1"/>
  <c r="M90" i="5"/>
  <c r="M88" i="5" s="1"/>
  <c r="N347" i="5"/>
  <c r="N345" i="5" s="1"/>
  <c r="M184" i="6"/>
  <c r="P184" i="6" s="1"/>
  <c r="L217" i="6"/>
  <c r="O217" i="6" s="1"/>
  <c r="L318" i="6"/>
  <c r="O318" i="6" s="1"/>
  <c r="L321" i="6"/>
  <c r="O321" i="6" s="1"/>
  <c r="K385" i="6"/>
  <c r="K708" i="6"/>
  <c r="K729" i="6"/>
  <c r="N12" i="7"/>
  <c r="N19" i="7"/>
  <c r="M29" i="7"/>
  <c r="O61" i="7"/>
  <c r="O71" i="7"/>
  <c r="I86" i="7"/>
  <c r="K86" i="7" s="1"/>
  <c r="O93" i="7"/>
  <c r="P125" i="7"/>
  <c r="N279" i="7"/>
  <c r="I442" i="7"/>
  <c r="K442" i="7" s="1"/>
  <c r="K460" i="7"/>
  <c r="N687" i="7"/>
  <c r="N685" i="7" s="1"/>
  <c r="N414" i="7" s="1"/>
  <c r="N688" i="7"/>
  <c r="P154" i="5"/>
  <c r="I364" i="5"/>
  <c r="M72" i="6"/>
  <c r="P72" i="6" s="1"/>
  <c r="L167" i="6"/>
  <c r="L165" i="6" s="1"/>
  <c r="L187" i="6"/>
  <c r="O187" i="6" s="1"/>
  <c r="N28" i="7"/>
  <c r="J364" i="7"/>
  <c r="K355" i="6"/>
  <c r="K360" i="6"/>
  <c r="L391" i="6"/>
  <c r="O391" i="6" s="1"/>
  <c r="K701" i="6"/>
  <c r="K723" i="6"/>
  <c r="M31" i="7"/>
  <c r="P31" i="7" s="1"/>
  <c r="K79" i="7"/>
  <c r="I77" i="7"/>
  <c r="N167" i="7"/>
  <c r="N165" i="7" s="1"/>
  <c r="L183" i="7"/>
  <c r="L229" i="7"/>
  <c r="I233" i="7"/>
  <c r="K233" i="7" s="1"/>
  <c r="I248" i="7"/>
  <c r="K248" i="7" s="1"/>
  <c r="M264" i="7"/>
  <c r="P266" i="7"/>
  <c r="M301" i="7"/>
  <c r="P301" i="7" s="1"/>
  <c r="P303" i="7"/>
  <c r="K365" i="7"/>
  <c r="M122" i="6"/>
  <c r="P122" i="6" s="1"/>
  <c r="O184" i="6"/>
  <c r="M90" i="7"/>
  <c r="L121" i="7"/>
  <c r="P170" i="7"/>
  <c r="O299" i="7"/>
  <c r="J592" i="7"/>
  <c r="K593" i="7"/>
  <c r="K340" i="6"/>
  <c r="I433" i="6"/>
  <c r="I417" i="6" s="1"/>
  <c r="K823" i="6"/>
  <c r="K826" i="6"/>
  <c r="L12" i="7"/>
  <c r="L19" i="7"/>
  <c r="M30" i="7"/>
  <c r="P30" i="7" s="1"/>
  <c r="O42" i="7"/>
  <c r="M121" i="7"/>
  <c r="L151" i="7"/>
  <c r="O151" i="7" s="1"/>
  <c r="N183" i="7"/>
  <c r="P262" i="7"/>
  <c r="M267" i="7"/>
  <c r="P267" i="7" s="1"/>
  <c r="P269" i="7"/>
  <c r="M304" i="7"/>
  <c r="P304" i="7" s="1"/>
  <c r="P306" i="7"/>
  <c r="O266" i="7"/>
  <c r="P299" i="7"/>
  <c r="K372" i="7"/>
  <c r="M405" i="7"/>
  <c r="P405" i="7" s="1"/>
  <c r="P407" i="7"/>
  <c r="M467" i="7"/>
  <c r="O535" i="7"/>
  <c r="L525" i="7"/>
  <c r="O525" i="7" s="1"/>
  <c r="N547" i="7"/>
  <c r="J594" i="7"/>
  <c r="K675" i="7"/>
  <c r="I654" i="7"/>
  <c r="K654" i="7" s="1"/>
  <c r="K674" i="7"/>
  <c r="K673" i="7"/>
  <c r="K669" i="7"/>
  <c r="N756" i="7"/>
  <c r="N754" i="7" s="1"/>
  <c r="N757" i="7"/>
  <c r="P806" i="7"/>
  <c r="M805" i="7"/>
  <c r="P805" i="7" s="1"/>
  <c r="K592" i="7"/>
  <c r="P656" i="7"/>
  <c r="M655" i="7"/>
  <c r="P655" i="7" s="1"/>
  <c r="O545" i="7"/>
  <c r="N772" i="7"/>
  <c r="N770" i="7" s="1"/>
  <c r="N773" i="7"/>
  <c r="L547" i="7"/>
  <c r="O549" i="7"/>
  <c r="K576" i="7"/>
  <c r="K381" i="7"/>
  <c r="N502" i="7"/>
  <c r="J537" i="7"/>
  <c r="J522" i="7" s="1"/>
  <c r="K538" i="7"/>
  <c r="K594" i="7"/>
  <c r="O690" i="7"/>
  <c r="L687" i="7"/>
  <c r="N739" i="7"/>
  <c r="N737" i="7" s="1"/>
  <c r="N740" i="7"/>
  <c r="L422" i="7"/>
  <c r="O422" i="7" s="1"/>
  <c r="I434" i="7"/>
  <c r="L447" i="7"/>
  <c r="O447" i="7" s="1"/>
  <c r="L477" i="7"/>
  <c r="O477" i="7" s="1"/>
  <c r="M545" i="7"/>
  <c r="L632" i="7"/>
  <c r="O632" i="7" s="1"/>
  <c r="L737" i="7"/>
  <c r="O737" i="7" s="1"/>
  <c r="L754" i="7"/>
  <c r="O754" i="7" s="1"/>
  <c r="L770" i="7"/>
  <c r="O770" i="7" s="1"/>
  <c r="M737" i="7"/>
  <c r="P737" i="7" s="1"/>
  <c r="M754" i="7"/>
  <c r="P754" i="7" s="1"/>
  <c r="M770" i="7"/>
  <c r="P770" i="7" s="1"/>
  <c r="M187" i="6"/>
  <c r="P187" i="6" s="1"/>
  <c r="P189" i="6"/>
  <c r="O634" i="6"/>
  <c r="L631" i="6"/>
  <c r="O631" i="6" s="1"/>
  <c r="L43" i="5"/>
  <c r="L41" i="5" s="1"/>
  <c r="P269" i="6"/>
  <c r="M267" i="6"/>
  <c r="P267" i="6" s="1"/>
  <c r="I314" i="6"/>
  <c r="K314" i="6" s="1"/>
  <c r="K325" i="6"/>
  <c r="I522" i="6"/>
  <c r="K522" i="6" s="1"/>
  <c r="K537" i="6"/>
  <c r="K115" i="6"/>
  <c r="I112" i="6"/>
  <c r="K112" i="6" s="1"/>
  <c r="K672" i="5"/>
  <c r="O96" i="6"/>
  <c r="L94" i="6"/>
  <c r="O94" i="6" s="1"/>
  <c r="L134" i="6"/>
  <c r="L132" i="6" s="1"/>
  <c r="M151" i="6"/>
  <c r="M149" i="6" s="1"/>
  <c r="M152" i="6"/>
  <c r="P152" i="6" s="1"/>
  <c r="O350" i="6"/>
  <c r="L348" i="6"/>
  <c r="O348" i="6" s="1"/>
  <c r="L94" i="5"/>
  <c r="O94" i="5" s="1"/>
  <c r="M171" i="5"/>
  <c r="P171" i="5" s="1"/>
  <c r="L187" i="5"/>
  <c r="O187" i="5" s="1"/>
  <c r="M347" i="5"/>
  <c r="M345" i="5" s="1"/>
  <c r="O394" i="5"/>
  <c r="O282" i="6"/>
  <c r="N280" i="6"/>
  <c r="O280" i="6" s="1"/>
  <c r="L36" i="6"/>
  <c r="O36" i="6" s="1"/>
  <c r="O431" i="6"/>
  <c r="L429" i="6"/>
  <c r="O429" i="6" s="1"/>
  <c r="O456" i="6"/>
  <c r="L454" i="6"/>
  <c r="O454" i="6" s="1"/>
  <c r="L230" i="6"/>
  <c r="N90" i="6"/>
  <c r="N88" i="6" s="1"/>
  <c r="N91" i="6"/>
  <c r="O91" i="6" s="1"/>
  <c r="O186" i="4"/>
  <c r="N55" i="5"/>
  <c r="N53" i="5" s="1"/>
  <c r="O660" i="5"/>
  <c r="K669" i="5"/>
  <c r="L43" i="6"/>
  <c r="L44" i="6"/>
  <c r="O44" i="6" s="1"/>
  <c r="M167" i="6"/>
  <c r="M165" i="6" s="1"/>
  <c r="P320" i="6"/>
  <c r="M318" i="6"/>
  <c r="P318" i="6" s="1"/>
  <c r="M317" i="6"/>
  <c r="M315" i="6" s="1"/>
  <c r="P315" i="6" s="1"/>
  <c r="P323" i="6"/>
  <c r="M321" i="6"/>
  <c r="P321" i="6" s="1"/>
  <c r="I364" i="6"/>
  <c r="K365" i="6"/>
  <c r="M404" i="6"/>
  <c r="P404" i="6" s="1"/>
  <c r="P407" i="6"/>
  <c r="M405" i="6"/>
  <c r="P405" i="6" s="1"/>
  <c r="O535" i="6"/>
  <c r="L525" i="6"/>
  <c r="L523" i="6" s="1"/>
  <c r="O523" i="6" s="1"/>
  <c r="L789" i="6"/>
  <c r="O789" i="6" s="1"/>
  <c r="O791" i="6"/>
  <c r="L788" i="6"/>
  <c r="M183" i="6"/>
  <c r="M181" i="6" s="1"/>
  <c r="L209" i="6"/>
  <c r="O209" i="6" s="1"/>
  <c r="K561" i="6"/>
  <c r="K821" i="5"/>
  <c r="K824" i="5"/>
  <c r="K827" i="5"/>
  <c r="M94" i="6"/>
  <c r="P94" i="6" s="1"/>
  <c r="M121" i="6"/>
  <c r="P121" i="6" s="1"/>
  <c r="K287" i="6"/>
  <c r="L555" i="6"/>
  <c r="O555" i="6" s="1"/>
  <c r="K594" i="6"/>
  <c r="J721" i="6"/>
  <c r="K721" i="6" s="1"/>
  <c r="J785" i="6"/>
  <c r="O140" i="6"/>
  <c r="L168" i="6"/>
  <c r="L198" i="6"/>
  <c r="O198" i="6" s="1"/>
  <c r="L238" i="6"/>
  <c r="O238" i="6" s="1"/>
  <c r="K577" i="6"/>
  <c r="K725" i="6"/>
  <c r="J722" i="6"/>
  <c r="K722" i="6" s="1"/>
  <c r="O173" i="6"/>
  <c r="M331" i="6"/>
  <c r="P331" i="6" s="1"/>
  <c r="K372" i="6"/>
  <c r="K803" i="6"/>
  <c r="K822" i="6"/>
  <c r="K825" i="6"/>
  <c r="K828" i="6"/>
  <c r="K193" i="6"/>
  <c r="I190" i="6"/>
  <c r="K190" i="6" s="1"/>
  <c r="O285" i="6"/>
  <c r="L279" i="6"/>
  <c r="L277" i="6" s="1"/>
  <c r="L283" i="6"/>
  <c r="O283" i="6" s="1"/>
  <c r="K288" i="6"/>
  <c r="J275" i="6"/>
  <c r="O333" i="6"/>
  <c r="L331" i="6"/>
  <c r="O331" i="6" s="1"/>
  <c r="L421" i="6"/>
  <c r="L419" i="6" s="1"/>
  <c r="L33" i="6"/>
  <c r="L422" i="6"/>
  <c r="O422" i="6" s="1"/>
  <c r="M167" i="3"/>
  <c r="M165" i="3" s="1"/>
  <c r="L477" i="3"/>
  <c r="O477" i="3" s="1"/>
  <c r="L44" i="5"/>
  <c r="O44" i="5" s="1"/>
  <c r="L47" i="5"/>
  <c r="O47" i="5" s="1"/>
  <c r="I197" i="5"/>
  <c r="K197" i="5" s="1"/>
  <c r="K99" i="6"/>
  <c r="I87" i="6"/>
  <c r="K87" i="6" s="1"/>
  <c r="L304" i="4"/>
  <c r="O304" i="4" s="1"/>
  <c r="K338" i="4"/>
  <c r="M187" i="5"/>
  <c r="P187" i="5" s="1"/>
  <c r="O306" i="6"/>
  <c r="L304" i="6"/>
  <c r="O304" i="6" s="1"/>
  <c r="O407" i="6"/>
  <c r="L404" i="6"/>
  <c r="O456" i="5"/>
  <c r="L454" i="5"/>
  <c r="O454" i="5" s="1"/>
  <c r="M47" i="6"/>
  <c r="P47" i="6" s="1"/>
  <c r="P49" i="6"/>
  <c r="O127" i="6"/>
  <c r="L125" i="6"/>
  <c r="O125" i="6" s="1"/>
  <c r="I197" i="6"/>
  <c r="K197" i="6" s="1"/>
  <c r="K204" i="6"/>
  <c r="O353" i="6"/>
  <c r="L347" i="6"/>
  <c r="L351" i="6"/>
  <c r="O351" i="6" s="1"/>
  <c r="N391" i="6"/>
  <c r="N389" i="6" s="1"/>
  <c r="N392" i="6"/>
  <c r="M395" i="6"/>
  <c r="P395" i="6" s="1"/>
  <c r="P397" i="6"/>
  <c r="O350" i="4"/>
  <c r="N121" i="5"/>
  <c r="N119" i="5" s="1"/>
  <c r="O173" i="5"/>
  <c r="L171" i="5"/>
  <c r="O171" i="5" s="1"/>
  <c r="L167" i="5"/>
  <c r="L165" i="5" s="1"/>
  <c r="O269" i="6"/>
  <c r="L263" i="6"/>
  <c r="L267" i="6"/>
  <c r="O267" i="6" s="1"/>
  <c r="N301" i="6"/>
  <c r="O301" i="6" s="1"/>
  <c r="N300" i="6"/>
  <c r="N298" i="6" s="1"/>
  <c r="N263" i="6"/>
  <c r="N261" i="6" s="1"/>
  <c r="N264" i="6"/>
  <c r="O264" i="6" s="1"/>
  <c r="P138" i="5"/>
  <c r="J722" i="5"/>
  <c r="L47" i="6"/>
  <c r="O47" i="6" s="1"/>
  <c r="J143" i="6"/>
  <c r="J131" i="6" s="1"/>
  <c r="O410" i="6"/>
  <c r="J433" i="6"/>
  <c r="J417" i="6" s="1"/>
  <c r="L546" i="6"/>
  <c r="O546" i="6" s="1"/>
  <c r="K569" i="6"/>
  <c r="O135" i="5"/>
  <c r="N183" i="5"/>
  <c r="N181" i="5" s="1"/>
  <c r="L231" i="5"/>
  <c r="O407" i="5"/>
  <c r="N55" i="6"/>
  <c r="N53" i="6" s="1"/>
  <c r="O58" i="6"/>
  <c r="N121" i="6"/>
  <c r="N119" i="6" s="1"/>
  <c r="O152" i="6"/>
  <c r="N26" i="6"/>
  <c r="N16" i="6" s="1"/>
  <c r="N14" i="6" s="1"/>
  <c r="M304" i="6"/>
  <c r="P304" i="6" s="1"/>
  <c r="K359" i="6"/>
  <c r="K362" i="6"/>
  <c r="K378" i="6"/>
  <c r="O641" i="6"/>
  <c r="K821" i="6"/>
  <c r="K824" i="6"/>
  <c r="K827" i="6"/>
  <c r="O56" i="6"/>
  <c r="P58" i="6"/>
  <c r="N151" i="6"/>
  <c r="N149" i="6" s="1"/>
  <c r="P56" i="6"/>
  <c r="L230" i="5"/>
  <c r="M351" i="5"/>
  <c r="P351" i="5" s="1"/>
  <c r="M68" i="6"/>
  <c r="M66" i="6" s="1"/>
  <c r="P140" i="6"/>
  <c r="L249" i="6"/>
  <c r="L317" i="6"/>
  <c r="L315" i="6" s="1"/>
  <c r="O315" i="6" s="1"/>
  <c r="M330" i="6"/>
  <c r="J327" i="6"/>
  <c r="K327" i="6" s="1"/>
  <c r="K369" i="6"/>
  <c r="M391" i="6"/>
  <c r="P391" i="6" s="1"/>
  <c r="K649" i="6"/>
  <c r="I785" i="6"/>
  <c r="N9" i="6"/>
  <c r="O61" i="6"/>
  <c r="L26" i="6"/>
  <c r="L24" i="6" s="1"/>
  <c r="P93" i="6"/>
  <c r="M90" i="6"/>
  <c r="M23" i="6"/>
  <c r="M91" i="6"/>
  <c r="N405" i="6"/>
  <c r="N404" i="6"/>
  <c r="N402" i="6" s="1"/>
  <c r="N657" i="6"/>
  <c r="N655" i="6" s="1"/>
  <c r="N658" i="6"/>
  <c r="N317" i="5"/>
  <c r="N315" i="5" s="1"/>
  <c r="N321" i="5"/>
  <c r="N300" i="2"/>
  <c r="N298" i="2" s="1"/>
  <c r="N167" i="3"/>
  <c r="P167" i="3" s="1"/>
  <c r="L231" i="4"/>
  <c r="K628" i="4"/>
  <c r="I86" i="5"/>
  <c r="K86" i="5" s="1"/>
  <c r="I216" i="5"/>
  <c r="K216" i="5" s="1"/>
  <c r="M279" i="5"/>
  <c r="M277" i="5" s="1"/>
  <c r="N348" i="5"/>
  <c r="P348" i="5" s="1"/>
  <c r="K359" i="5"/>
  <c r="K385" i="5"/>
  <c r="J433" i="5"/>
  <c r="J417" i="5" s="1"/>
  <c r="K647" i="5"/>
  <c r="L789" i="5"/>
  <c r="O789" i="5" s="1"/>
  <c r="L788" i="5"/>
  <c r="O788" i="5" s="1"/>
  <c r="P42" i="6"/>
  <c r="P54" i="6"/>
  <c r="L59" i="6"/>
  <c r="O59" i="6" s="1"/>
  <c r="M135" i="6"/>
  <c r="M134" i="6"/>
  <c r="P137" i="6"/>
  <c r="P262" i="6"/>
  <c r="L279" i="2"/>
  <c r="L277" i="2" s="1"/>
  <c r="P96" i="5"/>
  <c r="P157" i="5"/>
  <c r="K360" i="5"/>
  <c r="K378" i="5"/>
  <c r="K381" i="5"/>
  <c r="L631" i="5"/>
  <c r="O631" i="5" s="1"/>
  <c r="L688" i="5"/>
  <c r="O688" i="5" s="1"/>
  <c r="O690" i="5"/>
  <c r="K271" i="6"/>
  <c r="I260" i="6"/>
  <c r="K260" i="6" s="1"/>
  <c r="M347" i="6"/>
  <c r="L238" i="5"/>
  <c r="O238" i="5" s="1"/>
  <c r="N29" i="6"/>
  <c r="P353" i="6"/>
  <c r="M351" i="6"/>
  <c r="P351" i="6" s="1"/>
  <c r="L167" i="4"/>
  <c r="L165" i="4" s="1"/>
  <c r="L183" i="5"/>
  <c r="L181" i="5" s="1"/>
  <c r="I276" i="5"/>
  <c r="K276" i="5" s="1"/>
  <c r="P336" i="5"/>
  <c r="M334" i="5"/>
  <c r="P334" i="5" s="1"/>
  <c r="O350" i="5"/>
  <c r="L36" i="5"/>
  <c r="O36" i="5" s="1"/>
  <c r="I559" i="5"/>
  <c r="I543" i="5" s="1"/>
  <c r="K543" i="5" s="1"/>
  <c r="O19" i="6"/>
  <c r="I86" i="6"/>
  <c r="K86" i="6" s="1"/>
  <c r="K98" i="6"/>
  <c r="P133" i="6"/>
  <c r="P266" i="6"/>
  <c r="M263" i="6"/>
  <c r="M264" i="6"/>
  <c r="N283" i="6"/>
  <c r="N330" i="5"/>
  <c r="N328" i="5" s="1"/>
  <c r="O71" i="6"/>
  <c r="N69" i="6"/>
  <c r="O69" i="6" s="1"/>
  <c r="N68" i="6"/>
  <c r="P157" i="6"/>
  <c r="M26" i="6"/>
  <c r="M155" i="6"/>
  <c r="P155" i="6" s="1"/>
  <c r="N168" i="6"/>
  <c r="P170" i="6"/>
  <c r="N167" i="6"/>
  <c r="K338" i="5"/>
  <c r="M391" i="5"/>
  <c r="M389" i="5" s="1"/>
  <c r="P389" i="5" s="1"/>
  <c r="K649" i="5"/>
  <c r="O12" i="6"/>
  <c r="L15" i="6"/>
  <c r="L23" i="6"/>
  <c r="L21" i="6" s="1"/>
  <c r="P46" i="6"/>
  <c r="P71" i="6"/>
  <c r="I76" i="6"/>
  <c r="K79" i="6"/>
  <c r="I77" i="6"/>
  <c r="O170" i="6"/>
  <c r="I174" i="6"/>
  <c r="K176" i="6"/>
  <c r="L183" i="6"/>
  <c r="O186" i="6"/>
  <c r="K215" i="6"/>
  <c r="I208" i="6"/>
  <c r="K208" i="6" s="1"/>
  <c r="O278" i="6"/>
  <c r="I297" i="6"/>
  <c r="K297" i="6" s="1"/>
  <c r="L334" i="6"/>
  <c r="O334" i="6" s="1"/>
  <c r="O124" i="6"/>
  <c r="L121" i="6"/>
  <c r="O121" i="6" s="1"/>
  <c r="O154" i="6"/>
  <c r="P282" i="6"/>
  <c r="M279" i="6"/>
  <c r="P303" i="6"/>
  <c r="M300" i="6"/>
  <c r="P468" i="6"/>
  <c r="M467" i="6"/>
  <c r="N19" i="6"/>
  <c r="L90" i="6"/>
  <c r="N183" i="6"/>
  <c r="M392" i="6"/>
  <c r="P392" i="6" s="1"/>
  <c r="P394" i="6"/>
  <c r="N421" i="6"/>
  <c r="N419" i="6" s="1"/>
  <c r="N422" i="6"/>
  <c r="L447" i="6"/>
  <c r="O447" i="6" s="1"/>
  <c r="O449" i="6"/>
  <c r="I442" i="6"/>
  <c r="K442" i="6" s="1"/>
  <c r="K460" i="6"/>
  <c r="N504" i="6"/>
  <c r="N502" i="6" s="1"/>
  <c r="J537" i="6"/>
  <c r="J522" i="6" s="1"/>
  <c r="K539" i="6"/>
  <c r="J592" i="6"/>
  <c r="K593" i="6"/>
  <c r="P25" i="6"/>
  <c r="M15" i="6"/>
  <c r="L55" i="6"/>
  <c r="P299" i="6"/>
  <c r="M348" i="6"/>
  <c r="P348" i="6" s="1"/>
  <c r="P350" i="6"/>
  <c r="J374" i="6"/>
  <c r="K381" i="6"/>
  <c r="O22" i="6"/>
  <c r="P32" i="6"/>
  <c r="M29" i="6"/>
  <c r="M43" i="6"/>
  <c r="N23" i="6"/>
  <c r="N21" i="6" s="1"/>
  <c r="M55" i="6"/>
  <c r="M53" i="6" s="1"/>
  <c r="O74" i="6"/>
  <c r="P120" i="6"/>
  <c r="L151" i="6"/>
  <c r="P154" i="6"/>
  <c r="I237" i="6"/>
  <c r="P285" i="6"/>
  <c r="M283" i="6"/>
  <c r="P283" i="6" s="1"/>
  <c r="L300" i="6"/>
  <c r="N318" i="6"/>
  <c r="N317" i="6"/>
  <c r="N315" i="6" s="1"/>
  <c r="K338" i="6"/>
  <c r="O346" i="6"/>
  <c r="O93" i="6"/>
  <c r="O390" i="6"/>
  <c r="O504" i="6"/>
  <c r="L502" i="6"/>
  <c r="O502" i="6" s="1"/>
  <c r="O656" i="6"/>
  <c r="P150" i="6"/>
  <c r="O266" i="6"/>
  <c r="O303" i="6"/>
  <c r="L330" i="6"/>
  <c r="O424" i="6"/>
  <c r="L477" i="6"/>
  <c r="O477" i="6" s="1"/>
  <c r="L469" i="6"/>
  <c r="I434" i="6"/>
  <c r="K438" i="6"/>
  <c r="N472" i="6"/>
  <c r="P503" i="6"/>
  <c r="K628" i="6"/>
  <c r="O806" i="6"/>
  <c r="L805" i="6"/>
  <c r="O805" i="6" s="1"/>
  <c r="L547" i="6"/>
  <c r="O547" i="6" s="1"/>
  <c r="O549" i="6"/>
  <c r="K592" i="6"/>
  <c r="I543" i="6"/>
  <c r="K543" i="6" s="1"/>
  <c r="K559" i="6"/>
  <c r="K675" i="6"/>
  <c r="I654" i="6"/>
  <c r="K654" i="6" s="1"/>
  <c r="K674" i="6"/>
  <c r="K673" i="6"/>
  <c r="K669" i="6"/>
  <c r="K672" i="6"/>
  <c r="O690" i="6"/>
  <c r="L687" i="6"/>
  <c r="L688" i="6"/>
  <c r="O688" i="6" s="1"/>
  <c r="K379" i="6"/>
  <c r="M523" i="6"/>
  <c r="P523" i="6" s="1"/>
  <c r="P524" i="6"/>
  <c r="P657" i="6"/>
  <c r="M655" i="6"/>
  <c r="P655" i="6" s="1"/>
  <c r="K720" i="6"/>
  <c r="K576" i="6"/>
  <c r="O630" i="6"/>
  <c r="K651" i="6"/>
  <c r="P686" i="6"/>
  <c r="P787" i="6"/>
  <c r="M545" i="6"/>
  <c r="L632" i="6"/>
  <c r="O632" i="6" s="1"/>
  <c r="M183" i="2"/>
  <c r="M181" i="2" s="1"/>
  <c r="N68" i="3"/>
  <c r="N66" i="3" s="1"/>
  <c r="I148" i="3"/>
  <c r="K148" i="3" s="1"/>
  <c r="L404" i="4"/>
  <c r="L402" i="4" s="1"/>
  <c r="O402" i="4" s="1"/>
  <c r="O791" i="4"/>
  <c r="O58" i="5"/>
  <c r="I148" i="5"/>
  <c r="K148" i="5" s="1"/>
  <c r="M167" i="5"/>
  <c r="L263" i="5"/>
  <c r="L261" i="5" s="1"/>
  <c r="M283" i="5"/>
  <c r="P283" i="5" s="1"/>
  <c r="L304" i="5"/>
  <c r="O304" i="5" s="1"/>
  <c r="N334" i="5"/>
  <c r="J327" i="5"/>
  <c r="K327" i="5" s="1"/>
  <c r="I190" i="4"/>
  <c r="K190" i="4" s="1"/>
  <c r="K801" i="4"/>
  <c r="P49" i="5"/>
  <c r="L68" i="5"/>
  <c r="O68" i="5" s="1"/>
  <c r="I130" i="5"/>
  <c r="K130" i="5" s="1"/>
  <c r="M183" i="5"/>
  <c r="P266" i="5"/>
  <c r="N263" i="5"/>
  <c r="N261" i="5" s="1"/>
  <c r="P285" i="5"/>
  <c r="N405" i="5"/>
  <c r="L429" i="5"/>
  <c r="O429" i="5" s="1"/>
  <c r="K651" i="5"/>
  <c r="N279" i="5"/>
  <c r="N121" i="2"/>
  <c r="N119" i="2" s="1"/>
  <c r="N279" i="3"/>
  <c r="N277" i="3" s="1"/>
  <c r="M267" i="5"/>
  <c r="P267" i="5" s="1"/>
  <c r="M318" i="5"/>
  <c r="P318" i="5" s="1"/>
  <c r="L321" i="5"/>
  <c r="O321" i="5" s="1"/>
  <c r="K379" i="5"/>
  <c r="N391" i="5"/>
  <c r="N389" i="5" s="1"/>
  <c r="P407" i="5"/>
  <c r="K462" i="5"/>
  <c r="O557" i="5"/>
  <c r="K822" i="5"/>
  <c r="K828" i="5"/>
  <c r="K725" i="2"/>
  <c r="O280" i="4"/>
  <c r="L526" i="4"/>
  <c r="O526" i="4" s="1"/>
  <c r="P61" i="5"/>
  <c r="P306" i="5"/>
  <c r="K674" i="5"/>
  <c r="M43" i="5"/>
  <c r="M41" i="5" s="1"/>
  <c r="L134" i="5"/>
  <c r="L132" i="5" s="1"/>
  <c r="L198" i="5"/>
  <c r="O198" i="5" s="1"/>
  <c r="K362" i="5"/>
  <c r="K823" i="5"/>
  <c r="M26" i="5"/>
  <c r="M24" i="5" s="1"/>
  <c r="L228" i="5"/>
  <c r="L300" i="5"/>
  <c r="L298" i="5" s="1"/>
  <c r="L331" i="5"/>
  <c r="O331" i="5" s="1"/>
  <c r="K340" i="5"/>
  <c r="O431" i="5"/>
  <c r="K435" i="5"/>
  <c r="O535" i="5"/>
  <c r="O137" i="5"/>
  <c r="L125" i="2"/>
  <c r="O125" i="2" s="1"/>
  <c r="K673" i="3"/>
  <c r="N43" i="4"/>
  <c r="N41" i="4" s="1"/>
  <c r="N151" i="4"/>
  <c r="N149" i="4" s="1"/>
  <c r="I233" i="4"/>
  <c r="K233" i="4" s="1"/>
  <c r="N263" i="4"/>
  <c r="N261" i="4" s="1"/>
  <c r="L283" i="4"/>
  <c r="O283" i="4" s="1"/>
  <c r="M317" i="4"/>
  <c r="M315" i="4" s="1"/>
  <c r="L405" i="4"/>
  <c r="O405" i="4" s="1"/>
  <c r="I785" i="4"/>
  <c r="L26" i="5"/>
  <c r="L24" i="5" s="1"/>
  <c r="L56" i="5"/>
  <c r="O56" i="5" s="1"/>
  <c r="O61" i="5"/>
  <c r="M68" i="5"/>
  <c r="M66" i="5" s="1"/>
  <c r="P66" i="5" s="1"/>
  <c r="L91" i="5"/>
  <c r="O91" i="5" s="1"/>
  <c r="N122" i="5"/>
  <c r="P124" i="5"/>
  <c r="L138" i="5"/>
  <c r="O138" i="5" s="1"/>
  <c r="N167" i="5"/>
  <c r="N165" i="5" s="1"/>
  <c r="L184" i="5"/>
  <c r="I190" i="5"/>
  <c r="K190" i="5" s="1"/>
  <c r="N267" i="5"/>
  <c r="L283" i="5"/>
  <c r="O283" i="5" s="1"/>
  <c r="J288" i="5"/>
  <c r="J275" i="5" s="1"/>
  <c r="K275" i="5" s="1"/>
  <c r="M300" i="5"/>
  <c r="M298" i="5" s="1"/>
  <c r="P303" i="5"/>
  <c r="M331" i="5"/>
  <c r="P331" i="5" s="1"/>
  <c r="L348" i="5"/>
  <c r="P350" i="5"/>
  <c r="K355" i="5"/>
  <c r="L395" i="5"/>
  <c r="O395" i="5" s="1"/>
  <c r="L408" i="5"/>
  <c r="O408" i="5" s="1"/>
  <c r="L525" i="5"/>
  <c r="K593" i="5"/>
  <c r="M23" i="5"/>
  <c r="M13" i="5" s="1"/>
  <c r="M72" i="4"/>
  <c r="P72" i="4" s="1"/>
  <c r="K159" i="4"/>
  <c r="N26" i="5"/>
  <c r="N16" i="5" s="1"/>
  <c r="N14" i="5" s="1"/>
  <c r="O74" i="5"/>
  <c r="M91" i="5"/>
  <c r="P91" i="5" s="1"/>
  <c r="P93" i="5"/>
  <c r="M152" i="5"/>
  <c r="P152" i="5" s="1"/>
  <c r="I208" i="5"/>
  <c r="K208" i="5" s="1"/>
  <c r="L209" i="5"/>
  <c r="O209" i="5" s="1"/>
  <c r="M263" i="5"/>
  <c r="O264" i="5"/>
  <c r="O333" i="5"/>
  <c r="K369" i="5"/>
  <c r="K372" i="5"/>
  <c r="L391" i="5"/>
  <c r="O391" i="5" s="1"/>
  <c r="L404" i="5"/>
  <c r="I433" i="5"/>
  <c r="I417" i="5" s="1"/>
  <c r="L447" i="5"/>
  <c r="O447" i="5" s="1"/>
  <c r="L546" i="5"/>
  <c r="O549" i="5"/>
  <c r="I628" i="5"/>
  <c r="K628" i="5" s="1"/>
  <c r="L687" i="5"/>
  <c r="O687" i="5" s="1"/>
  <c r="N317" i="2"/>
  <c r="N315" i="2" s="1"/>
  <c r="L187" i="4"/>
  <c r="O187" i="4" s="1"/>
  <c r="K374" i="4"/>
  <c r="N391" i="4"/>
  <c r="N389" i="4" s="1"/>
  <c r="L23" i="5"/>
  <c r="N134" i="5"/>
  <c r="P264" i="5"/>
  <c r="P333" i="5"/>
  <c r="O351" i="5"/>
  <c r="O353" i="5"/>
  <c r="P46" i="5"/>
  <c r="K803" i="2"/>
  <c r="I364" i="3"/>
  <c r="P96" i="4"/>
  <c r="I216" i="4"/>
  <c r="K216" i="4" s="1"/>
  <c r="O282" i="4"/>
  <c r="I364" i="4"/>
  <c r="K379" i="4"/>
  <c r="K720" i="4"/>
  <c r="K822" i="4"/>
  <c r="L33" i="5"/>
  <c r="N59" i="5"/>
  <c r="P59" i="5" s="1"/>
  <c r="I77" i="5"/>
  <c r="I76" i="5"/>
  <c r="L121" i="5"/>
  <c r="O121" i="5" s="1"/>
  <c r="P135" i="5"/>
  <c r="L217" i="5"/>
  <c r="O217" i="5" s="1"/>
  <c r="L249" i="5"/>
  <c r="O249" i="5" s="1"/>
  <c r="O282" i="5"/>
  <c r="P353" i="5"/>
  <c r="K370" i="5"/>
  <c r="K374" i="5"/>
  <c r="L422" i="5"/>
  <c r="O422" i="5" s="1"/>
  <c r="O641" i="5"/>
  <c r="K673" i="5"/>
  <c r="P44" i="5"/>
  <c r="N283" i="3"/>
  <c r="I297" i="3"/>
  <c r="K297" i="3" s="1"/>
  <c r="N317" i="3"/>
  <c r="N315" i="3" s="1"/>
  <c r="L90" i="4"/>
  <c r="L88" i="4" s="1"/>
  <c r="O266" i="4"/>
  <c r="M280" i="4"/>
  <c r="P280" i="4" s="1"/>
  <c r="M321" i="4"/>
  <c r="P321" i="4" s="1"/>
  <c r="L408" i="4"/>
  <c r="O408" i="4" s="1"/>
  <c r="I654" i="4"/>
  <c r="K654" i="4" s="1"/>
  <c r="K821" i="4"/>
  <c r="K824" i="4"/>
  <c r="K827" i="4"/>
  <c r="P25" i="5"/>
  <c r="M15" i="5"/>
  <c r="M56" i="5"/>
  <c r="P56" i="5" s="1"/>
  <c r="N68" i="5"/>
  <c r="N66" i="5" s="1"/>
  <c r="P74" i="5"/>
  <c r="M125" i="5"/>
  <c r="P125" i="5" s="1"/>
  <c r="P140" i="5"/>
  <c r="M151" i="5"/>
  <c r="P170" i="5"/>
  <c r="O170" i="5"/>
  <c r="N168" i="5"/>
  <c r="P186" i="5"/>
  <c r="O186" i="5"/>
  <c r="N184" i="5"/>
  <c r="K244" i="5"/>
  <c r="I237" i="5"/>
  <c r="I233" i="5"/>
  <c r="K233" i="5" s="1"/>
  <c r="O280" i="5"/>
  <c r="K823" i="3"/>
  <c r="K826" i="3"/>
  <c r="P46" i="4"/>
  <c r="L183" i="4"/>
  <c r="L181" i="4" s="1"/>
  <c r="K355" i="4"/>
  <c r="K385" i="4"/>
  <c r="O22" i="5"/>
  <c r="O32" i="5"/>
  <c r="L29" i="5"/>
  <c r="L55" i="5"/>
  <c r="P58" i="5"/>
  <c r="P71" i="5"/>
  <c r="K99" i="5"/>
  <c r="M121" i="5"/>
  <c r="P121" i="5" s="1"/>
  <c r="P127" i="5"/>
  <c r="M134" i="5"/>
  <c r="L152" i="5"/>
  <c r="O152" i="5" s="1"/>
  <c r="O154" i="5"/>
  <c r="I174" i="5"/>
  <c r="K176" i="5"/>
  <c r="L184" i="4"/>
  <c r="O184" i="4" s="1"/>
  <c r="P282" i="4"/>
  <c r="L348" i="4"/>
  <c r="O348" i="4" s="1"/>
  <c r="O353" i="4"/>
  <c r="K825" i="4"/>
  <c r="K828" i="4"/>
  <c r="L12" i="5"/>
  <c r="P32" i="5"/>
  <c r="M29" i="5"/>
  <c r="M55" i="5"/>
  <c r="O93" i="5"/>
  <c r="K111" i="5"/>
  <c r="K115" i="5"/>
  <c r="I112" i="5"/>
  <c r="K112" i="5" s="1"/>
  <c r="L122" i="5"/>
  <c r="O122" i="5" s="1"/>
  <c r="O124" i="5"/>
  <c r="P137" i="5"/>
  <c r="J143" i="5"/>
  <c r="J131" i="5" s="1"/>
  <c r="K365" i="5"/>
  <c r="J364" i="5"/>
  <c r="M167" i="2"/>
  <c r="M165" i="2" s="1"/>
  <c r="N44" i="4"/>
  <c r="L217" i="4"/>
  <c r="O217" i="4" s="1"/>
  <c r="K381" i="4"/>
  <c r="M404" i="4"/>
  <c r="P404" i="4" s="1"/>
  <c r="P12" i="5"/>
  <c r="M9" i="5"/>
  <c r="L15" i="5"/>
  <c r="L19" i="5"/>
  <c r="N23" i="5"/>
  <c r="L229" i="5"/>
  <c r="N90" i="2"/>
  <c r="N88" i="2" s="1"/>
  <c r="P282" i="3"/>
  <c r="K338" i="3"/>
  <c r="K359" i="3"/>
  <c r="K385" i="3"/>
  <c r="M155" i="4"/>
  <c r="P155" i="4" s="1"/>
  <c r="K370" i="4"/>
  <c r="I442" i="4"/>
  <c r="K442" i="4" s="1"/>
  <c r="K700" i="4"/>
  <c r="K823" i="4"/>
  <c r="K826" i="4"/>
  <c r="N43" i="5"/>
  <c r="O46" i="5"/>
  <c r="K80" i="5"/>
  <c r="L125" i="5"/>
  <c r="O125" i="5" s="1"/>
  <c r="O127" i="5"/>
  <c r="K145" i="5"/>
  <c r="I143" i="5"/>
  <c r="P280" i="5"/>
  <c r="P33" i="5"/>
  <c r="M30" i="5"/>
  <c r="P30" i="5" s="1"/>
  <c r="P166" i="5"/>
  <c r="P182" i="5"/>
  <c r="I248" i="5"/>
  <c r="K248" i="5" s="1"/>
  <c r="K325" i="5"/>
  <c r="M404" i="5"/>
  <c r="L421" i="5"/>
  <c r="O421" i="5" s="1"/>
  <c r="N422" i="5"/>
  <c r="L446" i="5"/>
  <c r="O446" i="5" s="1"/>
  <c r="N447" i="5"/>
  <c r="P524" i="5"/>
  <c r="M523" i="5"/>
  <c r="O686" i="5"/>
  <c r="N789" i="5"/>
  <c r="O157" i="5"/>
  <c r="O266" i="5"/>
  <c r="O269" i="5"/>
  <c r="P282" i="5"/>
  <c r="I297" i="5"/>
  <c r="K297" i="5" s="1"/>
  <c r="N301" i="5"/>
  <c r="L318" i="5"/>
  <c r="O318" i="5" s="1"/>
  <c r="M321" i="5"/>
  <c r="P321" i="5" s="1"/>
  <c r="P410" i="5"/>
  <c r="I434" i="5"/>
  <c r="O504" i="5"/>
  <c r="L502" i="5"/>
  <c r="O502" i="5" s="1"/>
  <c r="K569" i="5"/>
  <c r="P755" i="5"/>
  <c r="M754" i="5"/>
  <c r="P754" i="5" s="1"/>
  <c r="P807" i="5"/>
  <c r="M805" i="5"/>
  <c r="P805" i="5" s="1"/>
  <c r="N504" i="5"/>
  <c r="N502" i="5" s="1"/>
  <c r="N414" i="5" s="1"/>
  <c r="N505" i="5"/>
  <c r="I785" i="5"/>
  <c r="K785" i="5" s="1"/>
  <c r="K800" i="5"/>
  <c r="O806" i="5"/>
  <c r="L805" i="5"/>
  <c r="O805" i="5" s="1"/>
  <c r="L279" i="5"/>
  <c r="N300" i="5"/>
  <c r="O303" i="5"/>
  <c r="L317" i="5"/>
  <c r="O317" i="5" s="1"/>
  <c r="O479" i="5"/>
  <c r="M317" i="5"/>
  <c r="L347" i="5"/>
  <c r="L469" i="5"/>
  <c r="I522" i="5"/>
  <c r="K522" i="5" s="1"/>
  <c r="K537" i="5"/>
  <c r="L632" i="5"/>
  <c r="O632" i="5" s="1"/>
  <c r="O634" i="5"/>
  <c r="P738" i="5"/>
  <c r="M737" i="5"/>
  <c r="P737" i="5" s="1"/>
  <c r="P771" i="5"/>
  <c r="M770" i="5"/>
  <c r="P770" i="5" s="1"/>
  <c r="P788" i="5"/>
  <c r="M786" i="5"/>
  <c r="P786" i="5" s="1"/>
  <c r="O329" i="5"/>
  <c r="J537" i="5"/>
  <c r="J522" i="5" s="1"/>
  <c r="P687" i="5"/>
  <c r="M685" i="5"/>
  <c r="P685" i="5" s="1"/>
  <c r="O787" i="5"/>
  <c r="I442" i="5"/>
  <c r="K442" i="5" s="1"/>
  <c r="I654" i="5"/>
  <c r="K654" i="5" s="1"/>
  <c r="O791" i="5"/>
  <c r="M59" i="2"/>
  <c r="P59" i="2" s="1"/>
  <c r="M122" i="2"/>
  <c r="P122" i="2" s="1"/>
  <c r="M47" i="3"/>
  <c r="P47" i="3" s="1"/>
  <c r="N263" i="3"/>
  <c r="N330" i="3"/>
  <c r="N328" i="3" s="1"/>
  <c r="P336" i="3"/>
  <c r="N55" i="4"/>
  <c r="N53" i="4" s="1"/>
  <c r="M68" i="4"/>
  <c r="P68" i="4" s="1"/>
  <c r="I112" i="4"/>
  <c r="K112" i="4" s="1"/>
  <c r="M151" i="4"/>
  <c r="M149" i="4" s="1"/>
  <c r="M187" i="4"/>
  <c r="P187" i="4" s="1"/>
  <c r="P189" i="4"/>
  <c r="K176" i="4"/>
  <c r="I174" i="4"/>
  <c r="K174" i="4" s="1"/>
  <c r="M321" i="2"/>
  <c r="P321" i="2" s="1"/>
  <c r="L187" i="3"/>
  <c r="O187" i="3" s="1"/>
  <c r="L231" i="3"/>
  <c r="O61" i="4"/>
  <c r="M69" i="4"/>
  <c r="P69" i="4" s="1"/>
  <c r="M171" i="4"/>
  <c r="P171" i="4" s="1"/>
  <c r="P173" i="4"/>
  <c r="N283" i="4"/>
  <c r="N279" i="4"/>
  <c r="L469" i="4"/>
  <c r="L467" i="4" s="1"/>
  <c r="O170" i="3"/>
  <c r="O350" i="3"/>
  <c r="O74" i="4"/>
  <c r="K271" i="4"/>
  <c r="I260" i="4"/>
  <c r="K260" i="4" s="1"/>
  <c r="K309" i="4"/>
  <c r="I297" i="4"/>
  <c r="K297" i="4" s="1"/>
  <c r="K462" i="4"/>
  <c r="I443" i="4"/>
  <c r="K443" i="4" s="1"/>
  <c r="K340" i="3"/>
  <c r="K360" i="3"/>
  <c r="J721" i="3"/>
  <c r="K828" i="3"/>
  <c r="I86" i="4"/>
  <c r="K86" i="4" s="1"/>
  <c r="M90" i="4"/>
  <c r="M88" i="4" s="1"/>
  <c r="L301" i="4"/>
  <c r="O301" i="4" s="1"/>
  <c r="L300" i="4"/>
  <c r="L298" i="4" s="1"/>
  <c r="M334" i="4"/>
  <c r="P334" i="4" s="1"/>
  <c r="P336" i="4"/>
  <c r="P168" i="4"/>
  <c r="L209" i="4"/>
  <c r="O209" i="4" s="1"/>
  <c r="L229" i="4"/>
  <c r="L330" i="4"/>
  <c r="N330" i="4"/>
  <c r="N328" i="4" s="1"/>
  <c r="K340" i="4"/>
  <c r="P353" i="4"/>
  <c r="K360" i="4"/>
  <c r="L36" i="4"/>
  <c r="O36" i="4" s="1"/>
  <c r="J722" i="4"/>
  <c r="I208" i="4"/>
  <c r="K208" i="4" s="1"/>
  <c r="I237" i="4"/>
  <c r="K237" i="4" s="1"/>
  <c r="O303" i="4"/>
  <c r="P320" i="4"/>
  <c r="L334" i="4"/>
  <c r="O334" i="4" s="1"/>
  <c r="K378" i="4"/>
  <c r="N183" i="4"/>
  <c r="N181" i="4" s="1"/>
  <c r="O351" i="4"/>
  <c r="L447" i="4"/>
  <c r="O447" i="4" s="1"/>
  <c r="I522" i="4"/>
  <c r="K522" i="4" s="1"/>
  <c r="K651" i="4"/>
  <c r="N317" i="4"/>
  <c r="N315" i="4" s="1"/>
  <c r="O320" i="4"/>
  <c r="M391" i="4"/>
  <c r="M389" i="4" s="1"/>
  <c r="P389" i="4" s="1"/>
  <c r="I434" i="4"/>
  <c r="I418" i="4" s="1"/>
  <c r="K418" i="4" s="1"/>
  <c r="J327" i="4"/>
  <c r="K327" i="4" s="1"/>
  <c r="L347" i="4"/>
  <c r="L345" i="4" s="1"/>
  <c r="O397" i="4"/>
  <c r="L230" i="4"/>
  <c r="M44" i="4"/>
  <c r="N59" i="4"/>
  <c r="P59" i="4" s="1"/>
  <c r="L94" i="4"/>
  <c r="O94" i="4" s="1"/>
  <c r="O137" i="4"/>
  <c r="N152" i="4"/>
  <c r="P152" i="4" s="1"/>
  <c r="L155" i="4"/>
  <c r="O155" i="4" s="1"/>
  <c r="L168" i="4"/>
  <c r="O168" i="4" s="1"/>
  <c r="O170" i="4"/>
  <c r="M183" i="4"/>
  <c r="P186" i="4"/>
  <c r="L249" i="4"/>
  <c r="O249" i="4" s="1"/>
  <c r="L264" i="4"/>
  <c r="O264" i="4" s="1"/>
  <c r="P266" i="4"/>
  <c r="J288" i="4"/>
  <c r="N334" i="4"/>
  <c r="N347" i="4"/>
  <c r="N345" i="4" s="1"/>
  <c r="K369" i="4"/>
  <c r="K440" i="4"/>
  <c r="I148" i="2"/>
  <c r="K148" i="2" s="1"/>
  <c r="L230" i="3"/>
  <c r="K649" i="3"/>
  <c r="M23" i="4"/>
  <c r="M21" i="4" s="1"/>
  <c r="N26" i="4"/>
  <c r="N16" i="4" s="1"/>
  <c r="N14" i="4" s="1"/>
  <c r="L134" i="4"/>
  <c r="P137" i="4"/>
  <c r="O140" i="4"/>
  <c r="P170" i="4"/>
  <c r="P264" i="4"/>
  <c r="M318" i="4"/>
  <c r="P318" i="4" s="1"/>
  <c r="P348" i="4"/>
  <c r="K823" i="2"/>
  <c r="K826" i="2"/>
  <c r="L33" i="4"/>
  <c r="L31" i="4" s="1"/>
  <c r="O49" i="4"/>
  <c r="O56" i="4"/>
  <c r="P58" i="4"/>
  <c r="O71" i="4"/>
  <c r="O96" i="4"/>
  <c r="M134" i="4"/>
  <c r="P140" i="4"/>
  <c r="L151" i="4"/>
  <c r="O151" i="4" s="1"/>
  <c r="M167" i="4"/>
  <c r="K244" i="4"/>
  <c r="M267" i="4"/>
  <c r="P267" i="4" s="1"/>
  <c r="M283" i="4"/>
  <c r="P283" i="4" s="1"/>
  <c r="O394" i="4"/>
  <c r="O479" i="4"/>
  <c r="K594" i="3"/>
  <c r="P56" i="4"/>
  <c r="N134" i="4"/>
  <c r="N132" i="4" s="1"/>
  <c r="J143" i="4"/>
  <c r="J131" i="4" s="1"/>
  <c r="N167" i="4"/>
  <c r="N165" i="4" s="1"/>
  <c r="P184" i="4"/>
  <c r="L198" i="4"/>
  <c r="O198" i="4" s="1"/>
  <c r="I77" i="2"/>
  <c r="I65" i="2" s="1"/>
  <c r="K65" i="2" s="1"/>
  <c r="N134" i="2"/>
  <c r="N132" i="2" s="1"/>
  <c r="K255" i="2"/>
  <c r="M317" i="2"/>
  <c r="L391" i="2"/>
  <c r="O391" i="2" s="1"/>
  <c r="N90" i="3"/>
  <c r="N88" i="3" s="1"/>
  <c r="N121" i="3"/>
  <c r="N119" i="3" s="1"/>
  <c r="M168" i="3"/>
  <c r="P168" i="3" s="1"/>
  <c r="M318" i="3"/>
  <c r="P318" i="3" s="1"/>
  <c r="P61" i="4"/>
  <c r="M122" i="4"/>
  <c r="P122" i="4" s="1"/>
  <c r="K144" i="4"/>
  <c r="P154" i="4"/>
  <c r="M263" i="4"/>
  <c r="O333" i="4"/>
  <c r="K359" i="4"/>
  <c r="K362" i="4"/>
  <c r="L391" i="4"/>
  <c r="O391" i="4" s="1"/>
  <c r="P397" i="4"/>
  <c r="K649" i="4"/>
  <c r="K672" i="4"/>
  <c r="J721" i="4"/>
  <c r="K224" i="3"/>
  <c r="I216" i="3"/>
  <c r="K216" i="3" s="1"/>
  <c r="N151" i="3"/>
  <c r="N149" i="3" s="1"/>
  <c r="O127" i="4"/>
  <c r="L121" i="4"/>
  <c r="O121" i="4" s="1"/>
  <c r="L26" i="4"/>
  <c r="L24" i="4" s="1"/>
  <c r="L125" i="4"/>
  <c r="O125" i="4" s="1"/>
  <c r="O22" i="4"/>
  <c r="L19" i="4"/>
  <c r="L12" i="4"/>
  <c r="J87" i="4"/>
  <c r="K87" i="4" s="1"/>
  <c r="K99" i="4"/>
  <c r="L228" i="2"/>
  <c r="N183" i="2"/>
  <c r="N181" i="2" s="1"/>
  <c r="K460" i="2"/>
  <c r="K821" i="2"/>
  <c r="K824" i="2"/>
  <c r="K827" i="2"/>
  <c r="L168" i="3"/>
  <c r="O168" i="3" s="1"/>
  <c r="K325" i="3"/>
  <c r="I314" i="3"/>
  <c r="K314" i="3" s="1"/>
  <c r="O58" i="4"/>
  <c r="L55" i="4"/>
  <c r="L238" i="4"/>
  <c r="L228" i="4"/>
  <c r="M47" i="4"/>
  <c r="P47" i="4" s="1"/>
  <c r="P49" i="4"/>
  <c r="M26" i="4"/>
  <c r="L737" i="4"/>
  <c r="O737" i="4" s="1"/>
  <c r="O739" i="4"/>
  <c r="K193" i="3"/>
  <c r="I190" i="3"/>
  <c r="K190" i="3" s="1"/>
  <c r="M138" i="2"/>
  <c r="P138" i="2" s="1"/>
  <c r="O127" i="3"/>
  <c r="L125" i="3"/>
  <c r="O125" i="3" s="1"/>
  <c r="P184" i="3"/>
  <c r="P189" i="3"/>
  <c r="M187" i="3"/>
  <c r="P187" i="3" s="1"/>
  <c r="L44" i="4"/>
  <c r="L23" i="4"/>
  <c r="O46" i="4"/>
  <c r="L43" i="4"/>
  <c r="N69" i="4"/>
  <c r="N68" i="4"/>
  <c r="N66" i="4" s="1"/>
  <c r="N23" i="4"/>
  <c r="N91" i="4"/>
  <c r="P93" i="4"/>
  <c r="O93" i="4"/>
  <c r="N90" i="4"/>
  <c r="K225" i="4"/>
  <c r="J721" i="2"/>
  <c r="K721" i="2" s="1"/>
  <c r="M264" i="3"/>
  <c r="M263" i="3"/>
  <c r="M261" i="3" s="1"/>
  <c r="O15" i="4"/>
  <c r="O29" i="4"/>
  <c r="O89" i="4"/>
  <c r="N421" i="4"/>
  <c r="N419" i="4" s="1"/>
  <c r="N33" i="4"/>
  <c r="N30" i="4" s="1"/>
  <c r="N28" i="4" s="1"/>
  <c r="O280" i="3"/>
  <c r="L631" i="3"/>
  <c r="O631" i="3" s="1"/>
  <c r="K822" i="3"/>
  <c r="I276" i="4"/>
  <c r="K276" i="4" s="1"/>
  <c r="K287" i="4"/>
  <c r="M301" i="4"/>
  <c r="P301" i="4" s="1"/>
  <c r="P303" i="4"/>
  <c r="M300" i="4"/>
  <c r="L321" i="4"/>
  <c r="O321" i="4" s="1"/>
  <c r="O323" i="4"/>
  <c r="M467" i="4"/>
  <c r="P467" i="4" s="1"/>
  <c r="P469" i="4"/>
  <c r="M805" i="4"/>
  <c r="P805" i="4" s="1"/>
  <c r="P807" i="4"/>
  <c r="L134" i="3"/>
  <c r="L132" i="3" s="1"/>
  <c r="L249" i="3"/>
  <c r="O249" i="3" s="1"/>
  <c r="N391" i="3"/>
  <c r="N389" i="3" s="1"/>
  <c r="M28" i="4"/>
  <c r="P28" i="4" s="1"/>
  <c r="M43" i="4"/>
  <c r="M55" i="4"/>
  <c r="M125" i="4"/>
  <c r="P125" i="4" s="1"/>
  <c r="L267" i="4"/>
  <c r="O267" i="4" s="1"/>
  <c r="M444" i="4"/>
  <c r="P445" i="4"/>
  <c r="O468" i="4"/>
  <c r="N469" i="4"/>
  <c r="N470" i="4"/>
  <c r="M685" i="4"/>
  <c r="P685" i="4" s="1"/>
  <c r="P686" i="4"/>
  <c r="L805" i="4"/>
  <c r="O805" i="4" s="1"/>
  <c r="O806" i="4"/>
  <c r="M122" i="3"/>
  <c r="P122" i="3" s="1"/>
  <c r="O186" i="3"/>
  <c r="L209" i="3"/>
  <c r="O209" i="3" s="1"/>
  <c r="M280" i="3"/>
  <c r="P280" i="3" s="1"/>
  <c r="M404" i="3"/>
  <c r="P404" i="3" s="1"/>
  <c r="L429" i="3"/>
  <c r="O429" i="3" s="1"/>
  <c r="M121" i="4"/>
  <c r="L263" i="4"/>
  <c r="O390" i="4"/>
  <c r="L502" i="4"/>
  <c r="O502" i="4" s="1"/>
  <c r="O504" i="4"/>
  <c r="J327" i="3"/>
  <c r="K327" i="3" s="1"/>
  <c r="N404" i="3"/>
  <c r="N402" i="3" s="1"/>
  <c r="M408" i="3"/>
  <c r="P408" i="3" s="1"/>
  <c r="L469" i="3"/>
  <c r="L467" i="3" s="1"/>
  <c r="O467" i="3" s="1"/>
  <c r="L687" i="3"/>
  <c r="O687" i="3" s="1"/>
  <c r="O690" i="3"/>
  <c r="M12" i="4"/>
  <c r="M19" i="4"/>
  <c r="I77" i="4"/>
  <c r="O120" i="4"/>
  <c r="L152" i="4"/>
  <c r="O152" i="4" s="1"/>
  <c r="M331" i="4"/>
  <c r="P331" i="4" s="1"/>
  <c r="M330" i="4"/>
  <c r="P333" i="4"/>
  <c r="J364" i="4"/>
  <c r="K365" i="4"/>
  <c r="N408" i="4"/>
  <c r="N404" i="4"/>
  <c r="N402" i="4" s="1"/>
  <c r="N546" i="4"/>
  <c r="N544" i="4" s="1"/>
  <c r="N547" i="4"/>
  <c r="K592" i="4"/>
  <c r="P93" i="3"/>
  <c r="L421" i="3"/>
  <c r="L419" i="3" s="1"/>
  <c r="L33" i="3"/>
  <c r="O33" i="3" s="1"/>
  <c r="K824" i="3"/>
  <c r="K827" i="3"/>
  <c r="N12" i="4"/>
  <c r="M31" i="4"/>
  <c r="P31" i="4" s="1"/>
  <c r="O54" i="4"/>
  <c r="L68" i="4"/>
  <c r="O68" i="4" s="1"/>
  <c r="I76" i="4"/>
  <c r="L122" i="4"/>
  <c r="O122" i="4" s="1"/>
  <c r="K435" i="4"/>
  <c r="J433" i="4"/>
  <c r="J417" i="4" s="1"/>
  <c r="I433" i="4"/>
  <c r="O786" i="4"/>
  <c r="L429" i="4"/>
  <c r="O429" i="4" s="1"/>
  <c r="L421" i="4"/>
  <c r="O421" i="4" s="1"/>
  <c r="O431" i="4"/>
  <c r="O470" i="4"/>
  <c r="O535" i="4"/>
  <c r="L525" i="4"/>
  <c r="L533" i="4"/>
  <c r="O533" i="4" s="1"/>
  <c r="L639" i="4"/>
  <c r="O639" i="4" s="1"/>
  <c r="O641" i="4"/>
  <c r="L631" i="4"/>
  <c r="N772" i="4"/>
  <c r="N770" i="4" s="1"/>
  <c r="N773" i="4"/>
  <c r="I143" i="4"/>
  <c r="I248" i="4"/>
  <c r="K248" i="4" s="1"/>
  <c r="N300" i="4"/>
  <c r="L317" i="4"/>
  <c r="O557" i="4"/>
  <c r="L555" i="4"/>
  <c r="O555" i="4" s="1"/>
  <c r="L546" i="4"/>
  <c r="O546" i="4" s="1"/>
  <c r="K577" i="4"/>
  <c r="K594" i="4"/>
  <c r="O690" i="4"/>
  <c r="N756" i="4"/>
  <c r="N754" i="4" s="1"/>
  <c r="N757" i="4"/>
  <c r="L279" i="4"/>
  <c r="O422" i="4"/>
  <c r="O456" i="4"/>
  <c r="L454" i="4"/>
  <c r="O454" i="4" s="1"/>
  <c r="L446" i="4"/>
  <c r="N504" i="4"/>
  <c r="N502" i="4" s="1"/>
  <c r="N505" i="4"/>
  <c r="M544" i="4"/>
  <c r="P544" i="4" s="1"/>
  <c r="P545" i="4"/>
  <c r="L655" i="4"/>
  <c r="O655" i="4" s="1"/>
  <c r="O660" i="4"/>
  <c r="L658" i="4"/>
  <c r="O658" i="4" s="1"/>
  <c r="K675" i="4"/>
  <c r="N739" i="4"/>
  <c r="N737" i="4" s="1"/>
  <c r="N740" i="4"/>
  <c r="N786" i="4"/>
  <c r="O788" i="4"/>
  <c r="J785" i="4"/>
  <c r="I197" i="4"/>
  <c r="K197" i="4" s="1"/>
  <c r="O318" i="4"/>
  <c r="O331" i="4"/>
  <c r="M347" i="4"/>
  <c r="P350" i="4"/>
  <c r="P351" i="4"/>
  <c r="K372" i="4"/>
  <c r="P394" i="4"/>
  <c r="K538" i="4"/>
  <c r="J537" i="4"/>
  <c r="J522" i="4" s="1"/>
  <c r="O549" i="4"/>
  <c r="I559" i="4"/>
  <c r="K647" i="4"/>
  <c r="M304" i="4"/>
  <c r="P304" i="4" s="1"/>
  <c r="M405" i="4"/>
  <c r="P405" i="4" s="1"/>
  <c r="M408" i="4"/>
  <c r="P408" i="4" s="1"/>
  <c r="O424" i="4"/>
  <c r="O472" i="4"/>
  <c r="L547" i="4"/>
  <c r="O656" i="4"/>
  <c r="K669" i="4"/>
  <c r="K673" i="4"/>
  <c r="L687" i="4"/>
  <c r="K593" i="4"/>
  <c r="L230" i="2"/>
  <c r="L263" i="2"/>
  <c r="L261" i="2" s="1"/>
  <c r="O791" i="2"/>
  <c r="P71" i="3"/>
  <c r="K100" i="3"/>
  <c r="N122" i="3"/>
  <c r="M134" i="3"/>
  <c r="L171" i="3"/>
  <c r="O171" i="3" s="1"/>
  <c r="L183" i="3"/>
  <c r="L181" i="3" s="1"/>
  <c r="I275" i="3"/>
  <c r="K275" i="3" s="1"/>
  <c r="M300" i="3"/>
  <c r="M298" i="3" s="1"/>
  <c r="P306" i="3"/>
  <c r="K369" i="3"/>
  <c r="K560" i="3"/>
  <c r="K569" i="3"/>
  <c r="L404" i="3"/>
  <c r="P74" i="3"/>
  <c r="M171" i="3"/>
  <c r="P171" i="3" s="1"/>
  <c r="L184" i="3"/>
  <c r="O184" i="3" s="1"/>
  <c r="L229" i="3"/>
  <c r="L347" i="3"/>
  <c r="K825" i="3"/>
  <c r="O168" i="2"/>
  <c r="K355" i="2"/>
  <c r="O46" i="3"/>
  <c r="O61" i="3"/>
  <c r="L167" i="3"/>
  <c r="N347" i="3"/>
  <c r="N345" i="3" s="1"/>
  <c r="M405" i="3"/>
  <c r="P405" i="3" s="1"/>
  <c r="O407" i="3"/>
  <c r="K647" i="3"/>
  <c r="N122" i="2"/>
  <c r="K215" i="2"/>
  <c r="L300" i="2"/>
  <c r="P44" i="3"/>
  <c r="N23" i="3"/>
  <c r="N21" i="3" s="1"/>
  <c r="O154" i="3"/>
  <c r="N183" i="3"/>
  <c r="L391" i="3"/>
  <c r="O391" i="3" s="1"/>
  <c r="I433" i="3"/>
  <c r="I417" i="3" s="1"/>
  <c r="L94" i="2"/>
  <c r="O94" i="2" s="1"/>
  <c r="O44" i="3"/>
  <c r="N43" i="3"/>
  <c r="N41" i="3" s="1"/>
  <c r="O58" i="3"/>
  <c r="K111" i="3"/>
  <c r="P154" i="3"/>
  <c r="K374" i="3"/>
  <c r="L392" i="3"/>
  <c r="O392" i="3" s="1"/>
  <c r="K821" i="3"/>
  <c r="O93" i="2"/>
  <c r="M125" i="2"/>
  <c r="P125" i="2" s="1"/>
  <c r="L152" i="2"/>
  <c r="O152" i="2" s="1"/>
  <c r="L231" i="2"/>
  <c r="M263" i="2"/>
  <c r="M261" i="2" s="1"/>
  <c r="L317" i="2"/>
  <c r="L315" i="2" s="1"/>
  <c r="M408" i="2"/>
  <c r="P408" i="2" s="1"/>
  <c r="I522" i="2"/>
  <c r="K522" i="2" s="1"/>
  <c r="M23" i="3"/>
  <c r="N26" i="3"/>
  <c r="N16" i="3" s="1"/>
  <c r="N14" i="3" s="1"/>
  <c r="L36" i="3"/>
  <c r="O36" i="3" s="1"/>
  <c r="L59" i="3"/>
  <c r="O59" i="3" s="1"/>
  <c r="O71" i="3"/>
  <c r="I76" i="3"/>
  <c r="I64" i="3" s="1"/>
  <c r="K64" i="3" s="1"/>
  <c r="I112" i="3"/>
  <c r="K112" i="3" s="1"/>
  <c r="L122" i="3"/>
  <c r="O122" i="3" s="1"/>
  <c r="L151" i="3"/>
  <c r="L149" i="3" s="1"/>
  <c r="M155" i="3"/>
  <c r="P155" i="3" s="1"/>
  <c r="P170" i="3"/>
  <c r="I174" i="3"/>
  <c r="M183" i="3"/>
  <c r="L198" i="3"/>
  <c r="O198" i="3" s="1"/>
  <c r="K244" i="3"/>
  <c r="N264" i="3"/>
  <c r="L267" i="3"/>
  <c r="O267" i="3" s="1"/>
  <c r="K287" i="3"/>
  <c r="L304" i="3"/>
  <c r="O304" i="3" s="1"/>
  <c r="N318" i="3"/>
  <c r="O323" i="3"/>
  <c r="N331" i="3"/>
  <c r="P331" i="3" s="1"/>
  <c r="L334" i="3"/>
  <c r="O334" i="3" s="1"/>
  <c r="L348" i="3"/>
  <c r="O348" i="3" s="1"/>
  <c r="O353" i="3"/>
  <c r="N392" i="3"/>
  <c r="L395" i="3"/>
  <c r="O395" i="3" s="1"/>
  <c r="O410" i="3"/>
  <c r="L546" i="3"/>
  <c r="L544" i="3" s="1"/>
  <c r="K559" i="3"/>
  <c r="K568" i="3"/>
  <c r="K577" i="3"/>
  <c r="M155" i="2"/>
  <c r="P155" i="2" s="1"/>
  <c r="K370" i="2"/>
  <c r="P46" i="3"/>
  <c r="L55" i="3"/>
  <c r="I87" i="3"/>
  <c r="K87" i="3" s="1"/>
  <c r="O93" i="3"/>
  <c r="K98" i="3"/>
  <c r="N134" i="3"/>
  <c r="M151" i="3"/>
  <c r="I208" i="3"/>
  <c r="K208" i="3" s="1"/>
  <c r="L238" i="3"/>
  <c r="O238" i="3" s="1"/>
  <c r="M267" i="3"/>
  <c r="P267" i="3" s="1"/>
  <c r="P350" i="3"/>
  <c r="P351" i="3"/>
  <c r="L657" i="3"/>
  <c r="L655" i="3" s="1"/>
  <c r="K672" i="3"/>
  <c r="K675" i="3"/>
  <c r="K669" i="3"/>
  <c r="K276" i="3"/>
  <c r="M121" i="2"/>
  <c r="L183" i="2"/>
  <c r="L181" i="2" s="1"/>
  <c r="I364" i="2"/>
  <c r="P186" i="3"/>
  <c r="O282" i="3"/>
  <c r="O351" i="3"/>
  <c r="J537" i="3"/>
  <c r="J522" i="3" s="1"/>
  <c r="J722" i="3"/>
  <c r="O56" i="3"/>
  <c r="M43" i="3"/>
  <c r="N47" i="3"/>
  <c r="L68" i="3"/>
  <c r="N69" i="3"/>
  <c r="O69" i="3" s="1"/>
  <c r="L121" i="3"/>
  <c r="O121" i="3" s="1"/>
  <c r="M125" i="3"/>
  <c r="P125" i="3" s="1"/>
  <c r="L152" i="3"/>
  <c r="O152" i="3" s="1"/>
  <c r="O266" i="3"/>
  <c r="O303" i="3"/>
  <c r="L330" i="3"/>
  <c r="L328" i="3" s="1"/>
  <c r="O333" i="3"/>
  <c r="J364" i="3"/>
  <c r="J433" i="3"/>
  <c r="J417" i="3" s="1"/>
  <c r="K539" i="3"/>
  <c r="L555" i="3"/>
  <c r="O555" i="3" s="1"/>
  <c r="L639" i="3"/>
  <c r="O639" i="3" s="1"/>
  <c r="O641" i="3"/>
  <c r="K651" i="3"/>
  <c r="J628" i="3"/>
  <c r="K628" i="3" s="1"/>
  <c r="M47" i="2"/>
  <c r="P47" i="2" s="1"/>
  <c r="M68" i="3"/>
  <c r="L94" i="3"/>
  <c r="O94" i="3" s="1"/>
  <c r="M121" i="3"/>
  <c r="P121" i="3" s="1"/>
  <c r="I130" i="3"/>
  <c r="K130" i="3" s="1"/>
  <c r="M152" i="3"/>
  <c r="P152" i="3" s="1"/>
  <c r="L217" i="3"/>
  <c r="O217" i="3" s="1"/>
  <c r="L264" i="3"/>
  <c r="P266" i="3"/>
  <c r="M279" i="3"/>
  <c r="M283" i="3"/>
  <c r="P283" i="3" s="1"/>
  <c r="K370" i="3"/>
  <c r="K378" i="3"/>
  <c r="K561" i="3"/>
  <c r="K576" i="3"/>
  <c r="J143" i="2"/>
  <c r="J131" i="2" s="1"/>
  <c r="I143" i="2"/>
  <c r="I131" i="2" s="1"/>
  <c r="K131" i="2" s="1"/>
  <c r="K438" i="3"/>
  <c r="I434" i="3"/>
  <c r="N69" i="2"/>
  <c r="N68" i="2"/>
  <c r="N66" i="2" s="1"/>
  <c r="K145" i="2"/>
  <c r="P329" i="3"/>
  <c r="N279" i="2"/>
  <c r="N277" i="2" s="1"/>
  <c r="N30" i="3"/>
  <c r="N31" i="3"/>
  <c r="P93" i="2"/>
  <c r="M91" i="2"/>
  <c r="P91" i="2" s="1"/>
  <c r="M151" i="2"/>
  <c r="M149" i="2" s="1"/>
  <c r="P149" i="2" s="1"/>
  <c r="P154" i="2"/>
  <c r="P269" i="2"/>
  <c r="M267" i="2"/>
  <c r="P267" i="2" s="1"/>
  <c r="M405" i="2"/>
  <c r="P405" i="2" s="1"/>
  <c r="P407" i="2"/>
  <c r="M404" i="2"/>
  <c r="P404" i="2" s="1"/>
  <c r="P12" i="3"/>
  <c r="P32" i="3"/>
  <c r="M29" i="3"/>
  <c r="M31" i="3"/>
  <c r="P31" i="3" s="1"/>
  <c r="P96" i="3"/>
  <c r="M94" i="3"/>
  <c r="P94" i="3" s="1"/>
  <c r="M56" i="2"/>
  <c r="P56" i="2" s="1"/>
  <c r="M55" i="2"/>
  <c r="M53" i="2" s="1"/>
  <c r="P19" i="3"/>
  <c r="P25" i="3"/>
  <c r="M15" i="3"/>
  <c r="N28" i="3"/>
  <c r="O54" i="3"/>
  <c r="O49" i="3"/>
  <c r="L26" i="3"/>
  <c r="L43" i="3"/>
  <c r="L47" i="3"/>
  <c r="O47" i="3" s="1"/>
  <c r="O157" i="2"/>
  <c r="L151" i="2"/>
  <c r="L155" i="2"/>
  <c r="O155" i="2" s="1"/>
  <c r="O124" i="2"/>
  <c r="L122" i="2"/>
  <c r="O122" i="2" s="1"/>
  <c r="M59" i="3"/>
  <c r="P59" i="3" s="1"/>
  <c r="P61" i="3"/>
  <c r="M26" i="3"/>
  <c r="M24" i="3" s="1"/>
  <c r="M55" i="3"/>
  <c r="N55" i="2"/>
  <c r="N53" i="2" s="1"/>
  <c r="O74" i="2"/>
  <c r="L283" i="2"/>
  <c r="O283" i="2" s="1"/>
  <c r="J327" i="2"/>
  <c r="K327" i="2" s="1"/>
  <c r="J364" i="2"/>
  <c r="K381" i="2"/>
  <c r="K720" i="2"/>
  <c r="J785" i="2"/>
  <c r="N12" i="3"/>
  <c r="N19" i="3"/>
  <c r="L23" i="3"/>
  <c r="L21" i="3" s="1"/>
  <c r="O42" i="3"/>
  <c r="L90" i="3"/>
  <c r="O120" i="3"/>
  <c r="N138" i="3"/>
  <c r="P140" i="3"/>
  <c r="O140" i="3"/>
  <c r="O424" i="3"/>
  <c r="N421" i="3"/>
  <c r="N419" i="3" s="1"/>
  <c r="N422" i="3"/>
  <c r="O422" i="3" s="1"/>
  <c r="M56" i="3"/>
  <c r="P56" i="3" s="1"/>
  <c r="P58" i="3"/>
  <c r="M90" i="3"/>
  <c r="J143" i="3"/>
  <c r="J131" i="3" s="1"/>
  <c r="K144" i="3"/>
  <c r="K225" i="3"/>
  <c r="I260" i="3"/>
  <c r="K260" i="3" s="1"/>
  <c r="O278" i="3"/>
  <c r="O549" i="3"/>
  <c r="N546" i="3"/>
  <c r="N544" i="3" s="1"/>
  <c r="N547" i="3"/>
  <c r="O547" i="3" s="1"/>
  <c r="O787" i="3"/>
  <c r="L786" i="3"/>
  <c r="O786" i="3" s="1"/>
  <c r="K193" i="2"/>
  <c r="P303" i="2"/>
  <c r="N330" i="2"/>
  <c r="K379" i="2"/>
  <c r="L658" i="2"/>
  <c r="O658" i="2" s="1"/>
  <c r="L72" i="3"/>
  <c r="O72" i="3" s="1"/>
  <c r="O89" i="3"/>
  <c r="K237" i="3"/>
  <c r="K100" i="2"/>
  <c r="L304" i="2"/>
  <c r="O304" i="2" s="1"/>
  <c r="M330" i="2"/>
  <c r="M328" i="2" s="1"/>
  <c r="L421" i="2"/>
  <c r="O421" i="2" s="1"/>
  <c r="O91" i="3"/>
  <c r="P133" i="3"/>
  <c r="I592" i="3"/>
  <c r="K592" i="3" s="1"/>
  <c r="K593" i="3"/>
  <c r="K340" i="2"/>
  <c r="K701" i="2"/>
  <c r="K723" i="2"/>
  <c r="L12" i="3"/>
  <c r="L19" i="3"/>
  <c r="M91" i="3"/>
  <c r="P91" i="3" s="1"/>
  <c r="N135" i="3"/>
  <c r="P137" i="3"/>
  <c r="O137" i="3"/>
  <c r="M321" i="3"/>
  <c r="P321" i="3" s="1"/>
  <c r="M392" i="3"/>
  <c r="P392" i="3" s="1"/>
  <c r="M391" i="3"/>
  <c r="P391" i="3" s="1"/>
  <c r="P394" i="3"/>
  <c r="O660" i="3"/>
  <c r="N657" i="3"/>
  <c r="N658" i="3"/>
  <c r="N446" i="3"/>
  <c r="N444" i="3" s="1"/>
  <c r="N447" i="3"/>
  <c r="O456" i="3"/>
  <c r="L454" i="3"/>
  <c r="O454" i="3" s="1"/>
  <c r="M347" i="3"/>
  <c r="M345" i="3" s="1"/>
  <c r="K372" i="3"/>
  <c r="N470" i="3"/>
  <c r="O470" i="3" s="1"/>
  <c r="O472" i="3"/>
  <c r="O503" i="3"/>
  <c r="L502" i="3"/>
  <c r="O502" i="3" s="1"/>
  <c r="P755" i="3"/>
  <c r="M754" i="3"/>
  <c r="P754" i="3" s="1"/>
  <c r="N786" i="3"/>
  <c r="P807" i="3"/>
  <c r="M805" i="3"/>
  <c r="P805" i="3" s="1"/>
  <c r="I143" i="3"/>
  <c r="I233" i="3"/>
  <c r="K233" i="3" s="1"/>
  <c r="I248" i="3"/>
  <c r="K248" i="3" s="1"/>
  <c r="K288" i="3"/>
  <c r="L300" i="3"/>
  <c r="N301" i="3"/>
  <c r="P301" i="3" s="1"/>
  <c r="P303" i="3"/>
  <c r="L317" i="3"/>
  <c r="O317" i="3" s="1"/>
  <c r="P353" i="3"/>
  <c r="K362" i="3"/>
  <c r="J355" i="3"/>
  <c r="K355" i="3" s="1"/>
  <c r="K365" i="3"/>
  <c r="P403" i="3"/>
  <c r="L446" i="3"/>
  <c r="L632" i="3"/>
  <c r="O632" i="3" s="1"/>
  <c r="O634" i="3"/>
  <c r="P687" i="3"/>
  <c r="M685" i="3"/>
  <c r="P685" i="3" s="1"/>
  <c r="L789" i="3"/>
  <c r="O789" i="3" s="1"/>
  <c r="O791" i="3"/>
  <c r="I785" i="3"/>
  <c r="K785" i="3" s="1"/>
  <c r="K800" i="3"/>
  <c r="I77" i="3"/>
  <c r="O285" i="3"/>
  <c r="M317" i="3"/>
  <c r="O320" i="3"/>
  <c r="P333" i="3"/>
  <c r="P397" i="3"/>
  <c r="I442" i="3"/>
  <c r="K442" i="3" s="1"/>
  <c r="K460" i="3"/>
  <c r="N502" i="3"/>
  <c r="N505" i="3"/>
  <c r="P631" i="3"/>
  <c r="M629" i="3"/>
  <c r="P629" i="3" s="1"/>
  <c r="O686" i="3"/>
  <c r="P788" i="3"/>
  <c r="M786" i="3"/>
  <c r="P786" i="3" s="1"/>
  <c r="O806" i="3"/>
  <c r="L805" i="3"/>
  <c r="O805" i="3" s="1"/>
  <c r="I197" i="3"/>
  <c r="K197" i="3" s="1"/>
  <c r="L279" i="3"/>
  <c r="N300" i="3"/>
  <c r="M330" i="3"/>
  <c r="P348" i="3"/>
  <c r="K379" i="3"/>
  <c r="K381" i="3"/>
  <c r="M419" i="3"/>
  <c r="O449" i="3"/>
  <c r="L447" i="3"/>
  <c r="K462" i="3"/>
  <c r="I443" i="3"/>
  <c r="K443" i="3" s="1"/>
  <c r="P468" i="3"/>
  <c r="M467" i="3"/>
  <c r="P467" i="3" s="1"/>
  <c r="O630" i="3"/>
  <c r="O658" i="3"/>
  <c r="P738" i="3"/>
  <c r="M737" i="3"/>
  <c r="P737" i="3" s="1"/>
  <c r="P771" i="3"/>
  <c r="M770" i="3"/>
  <c r="P770" i="3" s="1"/>
  <c r="N808" i="3"/>
  <c r="L533" i="3"/>
  <c r="O533" i="3" s="1"/>
  <c r="L525" i="3"/>
  <c r="N391" i="2"/>
  <c r="N389" i="2" s="1"/>
  <c r="I297" i="2"/>
  <c r="K297" i="2" s="1"/>
  <c r="O303" i="2"/>
  <c r="M395" i="2"/>
  <c r="P395" i="2" s="1"/>
  <c r="L446" i="2"/>
  <c r="O446" i="2" s="1"/>
  <c r="K651" i="2"/>
  <c r="M69" i="2"/>
  <c r="P69" i="2" s="1"/>
  <c r="N167" i="2"/>
  <c r="N165" i="2" s="1"/>
  <c r="L209" i="2"/>
  <c r="O209" i="2" s="1"/>
  <c r="I276" i="2"/>
  <c r="K276" i="2" s="1"/>
  <c r="O282" i="2"/>
  <c r="M300" i="2"/>
  <c r="M298" i="2" s="1"/>
  <c r="P266" i="2"/>
  <c r="O320" i="2"/>
  <c r="P350" i="2"/>
  <c r="K359" i="2"/>
  <c r="K362" i="2"/>
  <c r="M68" i="2"/>
  <c r="P68" i="2" s="1"/>
  <c r="L238" i="2"/>
  <c r="O238" i="2" s="1"/>
  <c r="P318" i="2"/>
  <c r="K369" i="2"/>
  <c r="K372" i="2"/>
  <c r="K385" i="2"/>
  <c r="N43" i="2"/>
  <c r="N41" i="2" s="1"/>
  <c r="P46" i="2"/>
  <c r="L55" i="2"/>
  <c r="L53" i="2" s="1"/>
  <c r="M94" i="2"/>
  <c r="P94" i="2" s="1"/>
  <c r="I260" i="2"/>
  <c r="K260" i="2" s="1"/>
  <c r="K360" i="2"/>
  <c r="K378" i="2"/>
  <c r="L631" i="2"/>
  <c r="L629" i="2" s="1"/>
  <c r="K647" i="2"/>
  <c r="O660" i="2"/>
  <c r="M72" i="2"/>
  <c r="P72" i="2" s="1"/>
  <c r="P58" i="2"/>
  <c r="P74" i="2"/>
  <c r="K79" i="2"/>
  <c r="L90" i="2"/>
  <c r="K87" i="2"/>
  <c r="L167" i="2"/>
  <c r="L165" i="2" s="1"/>
  <c r="N184" i="2"/>
  <c r="O184" i="2" s="1"/>
  <c r="L187" i="2"/>
  <c r="O187" i="2" s="1"/>
  <c r="M26" i="2"/>
  <c r="M16" i="2" s="1"/>
  <c r="L280" i="2"/>
  <c r="O280" i="2" s="1"/>
  <c r="P282" i="2"/>
  <c r="N331" i="2"/>
  <c r="P331" i="2" s="1"/>
  <c r="M334" i="2"/>
  <c r="P334" i="2" s="1"/>
  <c r="M347" i="2"/>
  <c r="M392" i="2"/>
  <c r="P392" i="2" s="1"/>
  <c r="L404" i="2"/>
  <c r="L408" i="2"/>
  <c r="O408" i="2" s="1"/>
  <c r="K462" i="2"/>
  <c r="I443" i="2"/>
  <c r="K443" i="2" s="1"/>
  <c r="L632" i="2"/>
  <c r="O632" i="2" s="1"/>
  <c r="K801" i="2"/>
  <c r="I785" i="2"/>
  <c r="L47" i="2"/>
  <c r="O47" i="2" s="1"/>
  <c r="L43" i="2"/>
  <c r="L41" i="2" s="1"/>
  <c r="M90" i="2"/>
  <c r="K99" i="2"/>
  <c r="L121" i="2"/>
  <c r="K204" i="2"/>
  <c r="O266" i="2"/>
  <c r="P280" i="2"/>
  <c r="N347" i="2"/>
  <c r="N345" i="2" s="1"/>
  <c r="K374" i="2"/>
  <c r="M44" i="2"/>
  <c r="L91" i="2"/>
  <c r="O91" i="2" s="1"/>
  <c r="M43" i="2"/>
  <c r="M41" i="2" s="1"/>
  <c r="L68" i="2"/>
  <c r="O71" i="2"/>
  <c r="L198" i="2"/>
  <c r="O198" i="2" s="1"/>
  <c r="L217" i="2"/>
  <c r="O217" i="2" s="1"/>
  <c r="K224" i="2"/>
  <c r="N263" i="2"/>
  <c r="N301" i="2"/>
  <c r="P301" i="2" s="1"/>
  <c r="O318" i="2"/>
  <c r="K338" i="2"/>
  <c r="M348" i="2"/>
  <c r="P348" i="2" s="1"/>
  <c r="P353" i="2"/>
  <c r="N404" i="2"/>
  <c r="N402" i="2" s="1"/>
  <c r="O407" i="2"/>
  <c r="L405" i="2"/>
  <c r="O405" i="2" s="1"/>
  <c r="L429" i="2"/>
  <c r="O429" i="2" s="1"/>
  <c r="O549" i="2"/>
  <c r="L546" i="2"/>
  <c r="L544" i="2" s="1"/>
  <c r="O544" i="2" s="1"/>
  <c r="K593" i="2"/>
  <c r="I628" i="2"/>
  <c r="K628" i="2" s="1"/>
  <c r="K365" i="2"/>
  <c r="L36" i="2"/>
  <c r="K98" i="2"/>
  <c r="N151" i="2"/>
  <c r="N149" i="2" s="1"/>
  <c r="M264" i="2"/>
  <c r="P264" i="2" s="1"/>
  <c r="M279" i="2"/>
  <c r="M304" i="2"/>
  <c r="P304" i="2" s="1"/>
  <c r="P333" i="2"/>
  <c r="M391" i="2"/>
  <c r="I433" i="2"/>
  <c r="I417" i="2" s="1"/>
  <c r="O657" i="2"/>
  <c r="L655" i="2"/>
  <c r="O655" i="2" s="1"/>
  <c r="K86" i="2"/>
  <c r="P351" i="2"/>
  <c r="I314" i="2"/>
  <c r="K314" i="2" s="1"/>
  <c r="K675" i="2"/>
  <c r="I654" i="2"/>
  <c r="K654" i="2" s="1"/>
  <c r="K672" i="2"/>
  <c r="K649" i="2"/>
  <c r="K822" i="2"/>
  <c r="K825" i="2"/>
  <c r="K828" i="2"/>
  <c r="K568" i="2"/>
  <c r="J722" i="2"/>
  <c r="K722" i="2" s="1"/>
  <c r="P137" i="2"/>
  <c r="M23" i="2"/>
  <c r="L138" i="2"/>
  <c r="O138" i="2" s="1"/>
  <c r="O140" i="2"/>
  <c r="N171" i="2"/>
  <c r="L229" i="2"/>
  <c r="L249" i="2"/>
  <c r="N786" i="2"/>
  <c r="P807" i="2"/>
  <c r="M805" i="2"/>
  <c r="P805" i="2" s="1"/>
  <c r="P33" i="2"/>
  <c r="M30" i="2"/>
  <c r="P30" i="2" s="1"/>
  <c r="I76" i="2"/>
  <c r="K80" i="2"/>
  <c r="M135" i="2"/>
  <c r="P135" i="2" s="1"/>
  <c r="O186" i="2"/>
  <c r="L422" i="2"/>
  <c r="O422" i="2" s="1"/>
  <c r="O424" i="2"/>
  <c r="L33" i="2"/>
  <c r="L447" i="2"/>
  <c r="O447" i="2" s="1"/>
  <c r="O449" i="2"/>
  <c r="O806" i="2"/>
  <c r="L805" i="2"/>
  <c r="O805" i="2" s="1"/>
  <c r="O12" i="2"/>
  <c r="L9" i="2"/>
  <c r="N26" i="2"/>
  <c r="N16" i="2" s="1"/>
  <c r="N14" i="2" s="1"/>
  <c r="N30" i="2"/>
  <c r="N28" i="2" s="1"/>
  <c r="N31" i="2"/>
  <c r="O58" i="2"/>
  <c r="L23" i="2"/>
  <c r="M184" i="2"/>
  <c r="P186" i="2"/>
  <c r="L351" i="2"/>
  <c r="O351" i="2" s="1"/>
  <c r="O353" i="2"/>
  <c r="L347" i="2"/>
  <c r="L345" i="2" s="1"/>
  <c r="O772" i="2"/>
  <c r="L770" i="2"/>
  <c r="O770" i="2" s="1"/>
  <c r="O133" i="2"/>
  <c r="P12" i="2"/>
  <c r="M9" i="2"/>
  <c r="P19" i="2"/>
  <c r="L56" i="2"/>
  <c r="O56" i="2" s="1"/>
  <c r="I174" i="2"/>
  <c r="K176" i="2"/>
  <c r="P182" i="2"/>
  <c r="L331" i="2"/>
  <c r="O333" i="2"/>
  <c r="L330" i="2"/>
  <c r="O688" i="2"/>
  <c r="N756" i="2"/>
  <c r="N754" i="2" s="1"/>
  <c r="N757" i="2"/>
  <c r="P166" i="2"/>
  <c r="O25" i="2"/>
  <c r="L15" i="2"/>
  <c r="O32" i="2"/>
  <c r="L29" i="2"/>
  <c r="N44" i="2"/>
  <c r="N23" i="2"/>
  <c r="L26" i="2"/>
  <c r="O61" i="2"/>
  <c r="L134" i="2"/>
  <c r="O134" i="2" s="1"/>
  <c r="M168" i="2"/>
  <c r="P168" i="2" s="1"/>
  <c r="P170" i="2"/>
  <c r="M187" i="2"/>
  <c r="P187" i="2" s="1"/>
  <c r="P189" i="2"/>
  <c r="L334" i="2"/>
  <c r="O334" i="2" s="1"/>
  <c r="O336" i="2"/>
  <c r="P656" i="2"/>
  <c r="M655" i="2"/>
  <c r="P655" i="2" s="1"/>
  <c r="P25" i="2"/>
  <c r="M15" i="2"/>
  <c r="P32" i="2"/>
  <c r="M29" i="2"/>
  <c r="M31" i="2"/>
  <c r="P31" i="2" s="1"/>
  <c r="O46" i="2"/>
  <c r="L59" i="2"/>
  <c r="O59" i="2" s="1"/>
  <c r="I112" i="2"/>
  <c r="K112" i="2" s="1"/>
  <c r="K116" i="2"/>
  <c r="M134" i="2"/>
  <c r="L135" i="2"/>
  <c r="O135" i="2" s="1"/>
  <c r="O137" i="2"/>
  <c r="K146" i="2"/>
  <c r="M171" i="2"/>
  <c r="P171" i="2" s="1"/>
  <c r="P173" i="2"/>
  <c r="O170" i="2"/>
  <c r="O173" i="2"/>
  <c r="L477" i="2"/>
  <c r="O477" i="2" s="1"/>
  <c r="O479" i="2"/>
  <c r="L469" i="2"/>
  <c r="O469" i="2" s="1"/>
  <c r="P525" i="2"/>
  <c r="M523" i="2"/>
  <c r="P523" i="2" s="1"/>
  <c r="I233" i="2"/>
  <c r="K233" i="2" s="1"/>
  <c r="K244" i="2"/>
  <c r="I237" i="2"/>
  <c r="P316" i="2"/>
  <c r="L392" i="2"/>
  <c r="O392" i="2" s="1"/>
  <c r="O394" i="2"/>
  <c r="O634" i="2"/>
  <c r="N631" i="2"/>
  <c r="N632" i="2"/>
  <c r="N772" i="2"/>
  <c r="N770" i="2" s="1"/>
  <c r="N773" i="2"/>
  <c r="L395" i="2"/>
  <c r="O395" i="2" s="1"/>
  <c r="O397" i="2"/>
  <c r="I434" i="2"/>
  <c r="K438" i="2"/>
  <c r="O524" i="2"/>
  <c r="K592" i="2"/>
  <c r="O690" i="2"/>
  <c r="O739" i="2"/>
  <c r="L737" i="2"/>
  <c r="O737" i="2" s="1"/>
  <c r="L348" i="2"/>
  <c r="O348" i="2" s="1"/>
  <c r="O350" i="2"/>
  <c r="N687" i="2"/>
  <c r="N685" i="2" s="1"/>
  <c r="N688" i="2"/>
  <c r="K708" i="2"/>
  <c r="N739" i="2"/>
  <c r="N737" i="2" s="1"/>
  <c r="N740" i="2"/>
  <c r="O756" i="2"/>
  <c r="L754" i="2"/>
  <c r="O754" i="2" s="1"/>
  <c r="L264" i="2"/>
  <c r="O264" i="2" s="1"/>
  <c r="L267" i="2"/>
  <c r="O267" i="2" s="1"/>
  <c r="M283" i="2"/>
  <c r="P283" i="2" s="1"/>
  <c r="L301" i="2"/>
  <c r="O323" i="2"/>
  <c r="P403" i="2"/>
  <c r="O545" i="2"/>
  <c r="K669" i="2"/>
  <c r="K673" i="2"/>
  <c r="L687" i="2"/>
  <c r="P320" i="2"/>
  <c r="J537" i="2"/>
  <c r="J522" i="2" s="1"/>
  <c r="K674" i="2"/>
  <c r="J288" i="2"/>
  <c r="J275" i="2" s="1"/>
  <c r="K275" i="2" s="1"/>
  <c r="M419" i="2"/>
  <c r="J433" i="2"/>
  <c r="L533" i="2"/>
  <c r="O533" i="2" s="1"/>
  <c r="M754" i="2"/>
  <c r="P754" i="2" s="1"/>
  <c r="M770" i="2"/>
  <c r="P770" i="2" s="1"/>
  <c r="L786" i="2"/>
  <c r="O786" i="2" s="1"/>
  <c r="N788" i="2"/>
  <c r="O788" i="2" s="1"/>
  <c r="M786" i="2"/>
  <c r="P786" i="2" s="1"/>
  <c r="L525" i="2"/>
  <c r="O525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O807" i="1"/>
  <c r="N807" i="1"/>
  <c r="N805" i="1" s="1"/>
  <c r="M807" i="1"/>
  <c r="P807" i="1" s="1"/>
  <c r="L807" i="1"/>
  <c r="N806" i="1"/>
  <c r="M806" i="1"/>
  <c r="P806" i="1" s="1"/>
  <c r="L806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P791" i="1"/>
  <c r="L791" i="1"/>
  <c r="L788" i="1" s="1"/>
  <c r="L786" i="1" s="1"/>
  <c r="P790" i="1"/>
  <c r="O790" i="1"/>
  <c r="P789" i="1"/>
  <c r="M789" i="1"/>
  <c r="P788" i="1"/>
  <c r="M788" i="1"/>
  <c r="O787" i="1"/>
  <c r="N787" i="1"/>
  <c r="M787" i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N772" i="1" s="1"/>
  <c r="P774" i="1"/>
  <c r="O774" i="1"/>
  <c r="P773" i="1"/>
  <c r="M773" i="1"/>
  <c r="L773" i="1"/>
  <c r="O773" i="1" s="1"/>
  <c r="P772" i="1"/>
  <c r="O772" i="1"/>
  <c r="M772" i="1"/>
  <c r="L772" i="1"/>
  <c r="L770" i="1" s="1"/>
  <c r="O770" i="1" s="1"/>
  <c r="P771" i="1"/>
  <c r="O771" i="1"/>
  <c r="N771" i="1"/>
  <c r="N770" i="1" s="1"/>
  <c r="M771" i="1"/>
  <c r="L771" i="1"/>
  <c r="M770" i="1"/>
  <c r="P770" i="1" s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N756" i="1" s="1"/>
  <c r="P758" i="1"/>
  <c r="O758" i="1"/>
  <c r="P757" i="1"/>
  <c r="M757" i="1"/>
  <c r="L757" i="1"/>
  <c r="O757" i="1" s="1"/>
  <c r="P756" i="1"/>
  <c r="O756" i="1"/>
  <c r="M756" i="1"/>
  <c r="L756" i="1"/>
  <c r="P755" i="1"/>
  <c r="O755" i="1"/>
  <c r="N755" i="1"/>
  <c r="N754" i="1" s="1"/>
  <c r="M755" i="1"/>
  <c r="L755" i="1"/>
  <c r="L754" i="1" s="1"/>
  <c r="O754" i="1" s="1"/>
  <c r="M754" i="1"/>
  <c r="P754" i="1" s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N739" i="1" s="1"/>
  <c r="P741" i="1"/>
  <c r="O741" i="1"/>
  <c r="P740" i="1"/>
  <c r="M740" i="1"/>
  <c r="L740" i="1"/>
  <c r="O740" i="1" s="1"/>
  <c r="P739" i="1"/>
  <c r="O739" i="1"/>
  <c r="M739" i="1"/>
  <c r="L739" i="1"/>
  <c r="L737" i="1" s="1"/>
  <c r="O737" i="1" s="1"/>
  <c r="P738" i="1"/>
  <c r="O738" i="1"/>
  <c r="N738" i="1"/>
  <c r="N737" i="1" s="1"/>
  <c r="M738" i="1"/>
  <c r="L738" i="1"/>
  <c r="M737" i="1"/>
  <c r="P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P690" i="1"/>
  <c r="L690" i="1"/>
  <c r="L688" i="1" s="1"/>
  <c r="P688" i="1"/>
  <c r="M688" i="1"/>
  <c r="P687" i="1"/>
  <c r="M687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N665" i="1"/>
  <c r="M665" i="1"/>
  <c r="P665" i="1" s="1"/>
  <c r="L665" i="1"/>
  <c r="O665" i="1" s="1"/>
  <c r="N664" i="1"/>
  <c r="N663" i="1"/>
  <c r="N662" i="1"/>
  <c r="N661" i="1"/>
  <c r="P660" i="1"/>
  <c r="L660" i="1"/>
  <c r="L657" i="1" s="1"/>
  <c r="L655" i="1" s="1"/>
  <c r="P659" i="1"/>
  <c r="O659" i="1"/>
  <c r="P658" i="1"/>
  <c r="M658" i="1"/>
  <c r="P657" i="1"/>
  <c r="M657" i="1"/>
  <c r="O656" i="1"/>
  <c r="N656" i="1"/>
  <c r="M656" i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P634" i="1"/>
  <c r="L634" i="1"/>
  <c r="L632" i="1" s="1"/>
  <c r="P633" i="1"/>
  <c r="O633" i="1"/>
  <c r="M632" i="1"/>
  <c r="P632" i="1" s="1"/>
  <c r="P631" i="1"/>
  <c r="M631" i="1"/>
  <c r="M629" i="1" s="1"/>
  <c r="P629" i="1" s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N545" i="1" s="1"/>
  <c r="M555" i="1"/>
  <c r="N554" i="1"/>
  <c r="N553" i="1"/>
  <c r="N552" i="1"/>
  <c r="N551" i="1"/>
  <c r="N550" i="1"/>
  <c r="P549" i="1"/>
  <c r="L549" i="1"/>
  <c r="P548" i="1"/>
  <c r="O548" i="1"/>
  <c r="M547" i="1"/>
  <c r="P547" i="1" s="1"/>
  <c r="M546" i="1"/>
  <c r="P546" i="1" s="1"/>
  <c r="P545" i="1"/>
  <c r="M545" i="1"/>
  <c r="M544" i="1" s="1"/>
  <c r="P544" i="1" s="1"/>
  <c r="L545" i="1"/>
  <c r="J542" i="1"/>
  <c r="I542" i="1"/>
  <c r="J541" i="1"/>
  <c r="I541" i="1"/>
  <c r="J540" i="1"/>
  <c r="I540" i="1"/>
  <c r="K540" i="1" s="1"/>
  <c r="J539" i="1"/>
  <c r="I539" i="1"/>
  <c r="J538" i="1"/>
  <c r="I538" i="1"/>
  <c r="I537" i="1"/>
  <c r="I522" i="1" s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P528" i="1"/>
  <c r="L528" i="1"/>
  <c r="L526" i="1" s="1"/>
  <c r="P527" i="1"/>
  <c r="O527" i="1"/>
  <c r="M526" i="1"/>
  <c r="P526" i="1" s="1"/>
  <c r="M525" i="1"/>
  <c r="P525" i="1" s="1"/>
  <c r="N524" i="1"/>
  <c r="M524" i="1"/>
  <c r="L524" i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P506" i="1"/>
  <c r="O506" i="1"/>
  <c r="M505" i="1"/>
  <c r="P505" i="1" s="1"/>
  <c r="L505" i="1"/>
  <c r="O505" i="1" s="1"/>
  <c r="P504" i="1"/>
  <c r="M504" i="1"/>
  <c r="L504" i="1"/>
  <c r="O504" i="1" s="1"/>
  <c r="P503" i="1"/>
  <c r="O503" i="1"/>
  <c r="N503" i="1"/>
  <c r="M503" i="1"/>
  <c r="M502" i="1" s="1"/>
  <c r="L503" i="1"/>
  <c r="L502" i="1" s="1"/>
  <c r="O502" i="1" s="1"/>
  <c r="P502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P472" i="1"/>
  <c r="L472" i="1"/>
  <c r="L470" i="1" s="1"/>
  <c r="P471" i="1"/>
  <c r="O471" i="1"/>
  <c r="P470" i="1"/>
  <c r="M470" i="1"/>
  <c r="P469" i="1"/>
  <c r="M469" i="1"/>
  <c r="O468" i="1"/>
  <c r="N468" i="1"/>
  <c r="M468" i="1"/>
  <c r="P468" i="1" s="1"/>
  <c r="L468" i="1"/>
  <c r="M467" i="1"/>
  <c r="P467" i="1" s="1"/>
  <c r="I466" i="1"/>
  <c r="I465" i="1"/>
  <c r="J464" i="1"/>
  <c r="I464" i="1"/>
  <c r="J463" i="1"/>
  <c r="I463" i="1"/>
  <c r="J462" i="1"/>
  <c r="I462" i="1"/>
  <c r="I443" i="1" s="1"/>
  <c r="J460" i="1"/>
  <c r="J442" i="1" s="1"/>
  <c r="I460" i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P449" i="1"/>
  <c r="L449" i="1"/>
  <c r="P448" i="1"/>
  <c r="O448" i="1"/>
  <c r="M447" i="1"/>
  <c r="P447" i="1" s="1"/>
  <c r="M446" i="1"/>
  <c r="P446" i="1" s="1"/>
  <c r="P445" i="1"/>
  <c r="N445" i="1"/>
  <c r="M445" i="1"/>
  <c r="M444" i="1" s="1"/>
  <c r="P444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P424" i="1"/>
  <c r="L424" i="1"/>
  <c r="L422" i="1" s="1"/>
  <c r="P423" i="1"/>
  <c r="O423" i="1"/>
  <c r="P422" i="1"/>
  <c r="M422" i="1"/>
  <c r="P421" i="1"/>
  <c r="M421" i="1"/>
  <c r="O420" i="1"/>
  <c r="N420" i="1"/>
  <c r="M420" i="1"/>
  <c r="P420" i="1" s="1"/>
  <c r="L420" i="1"/>
  <c r="M419" i="1"/>
  <c r="P419" i="1" s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N405" i="1" s="1"/>
  <c r="M407" i="1"/>
  <c r="P407" i="1" s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P394" i="1" s="1"/>
  <c r="L394" i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P352" i="1"/>
  <c r="O352" i="1"/>
  <c r="N350" i="1"/>
  <c r="N348" i="1" s="1"/>
  <c r="M350" i="1"/>
  <c r="M348" i="1" s="1"/>
  <c r="L350" i="1"/>
  <c r="P349" i="1"/>
  <c r="O349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M336" i="1"/>
  <c r="P336" i="1" s="1"/>
  <c r="L336" i="1"/>
  <c r="O336" i="1" s="1"/>
  <c r="P335" i="1"/>
  <c r="O335" i="1"/>
  <c r="N333" i="1"/>
  <c r="N331" i="1" s="1"/>
  <c r="M333" i="1"/>
  <c r="L333" i="1"/>
  <c r="L331" i="1" s="1"/>
  <c r="P332" i="1"/>
  <c r="O332" i="1"/>
  <c r="N329" i="1"/>
  <c r="M329" i="1"/>
  <c r="L329" i="1"/>
  <c r="O329" i="1" s="1"/>
  <c r="I327" i="1"/>
  <c r="J325" i="1"/>
  <c r="J314" i="1" s="1"/>
  <c r="I325" i="1"/>
  <c r="N323" i="1"/>
  <c r="N321" i="1" s="1"/>
  <c r="M323" i="1"/>
  <c r="M321" i="1" s="1"/>
  <c r="P321" i="1" s="1"/>
  <c r="L323" i="1"/>
  <c r="L321" i="1" s="1"/>
  <c r="O321" i="1" s="1"/>
  <c r="P322" i="1"/>
  <c r="O322" i="1"/>
  <c r="N320" i="1"/>
  <c r="N318" i="1" s="1"/>
  <c r="M320" i="1"/>
  <c r="L320" i="1"/>
  <c r="P319" i="1"/>
  <c r="O319" i="1"/>
  <c r="N316" i="1"/>
  <c r="M316" i="1"/>
  <c r="L316" i="1"/>
  <c r="O316" i="1" s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L306" i="1"/>
  <c r="L304" i="1" s="1"/>
  <c r="O304" i="1" s="1"/>
  <c r="P305" i="1"/>
  <c r="O305" i="1"/>
  <c r="N303" i="1"/>
  <c r="M303" i="1"/>
  <c r="L303" i="1"/>
  <c r="L301" i="1" s="1"/>
  <c r="P302" i="1"/>
  <c r="O302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I276" i="1" s="1"/>
  <c r="N285" i="1"/>
  <c r="N283" i="1" s="1"/>
  <c r="M285" i="1"/>
  <c r="L285" i="1"/>
  <c r="L283" i="1" s="1"/>
  <c r="O283" i="1" s="1"/>
  <c r="P284" i="1"/>
  <c r="O284" i="1"/>
  <c r="N282" i="1"/>
  <c r="N280" i="1" s="1"/>
  <c r="M282" i="1"/>
  <c r="L282" i="1"/>
  <c r="L280" i="1" s="1"/>
  <c r="P281" i="1"/>
  <c r="O281" i="1"/>
  <c r="N278" i="1"/>
  <c r="M278" i="1"/>
  <c r="P278" i="1" s="1"/>
  <c r="L278" i="1"/>
  <c r="J271" i="1"/>
  <c r="J260" i="1" s="1"/>
  <c r="I271" i="1"/>
  <c r="I260" i="1" s="1"/>
  <c r="N269" i="1"/>
  <c r="N267" i="1" s="1"/>
  <c r="M269" i="1"/>
  <c r="L269" i="1"/>
  <c r="L267" i="1" s="1"/>
  <c r="O267" i="1" s="1"/>
  <c r="P268" i="1"/>
  <c r="O268" i="1"/>
  <c r="N266" i="1"/>
  <c r="M266" i="1"/>
  <c r="L266" i="1"/>
  <c r="L264" i="1" s="1"/>
  <c r="P265" i="1"/>
  <c r="O265" i="1"/>
  <c r="N262" i="1"/>
  <c r="M262" i="1"/>
  <c r="P262" i="1" s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M186" i="1"/>
  <c r="M184" i="1" s="1"/>
  <c r="L186" i="1"/>
  <c r="P185" i="1"/>
  <c r="O185" i="1"/>
  <c r="P182" i="1"/>
  <c r="N182" i="1"/>
  <c r="M182" i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P173" i="1" s="1"/>
  <c r="L173" i="1"/>
  <c r="O173" i="1" s="1"/>
  <c r="P172" i="1"/>
  <c r="O172" i="1"/>
  <c r="N170" i="1"/>
  <c r="N168" i="1" s="1"/>
  <c r="M170" i="1"/>
  <c r="M168" i="1" s="1"/>
  <c r="L170" i="1"/>
  <c r="P169" i="1"/>
  <c r="O169" i="1"/>
  <c r="N166" i="1"/>
  <c r="M166" i="1"/>
  <c r="L166" i="1"/>
  <c r="O166" i="1" s="1"/>
  <c r="J159" i="1"/>
  <c r="J148" i="1" s="1"/>
  <c r="I159" i="1"/>
  <c r="N157" i="1"/>
  <c r="N155" i="1" s="1"/>
  <c r="M157" i="1"/>
  <c r="P157" i="1" s="1"/>
  <c r="L157" i="1"/>
  <c r="O157" i="1" s="1"/>
  <c r="P156" i="1"/>
  <c r="O156" i="1"/>
  <c r="N154" i="1"/>
  <c r="N152" i="1" s="1"/>
  <c r="M154" i="1"/>
  <c r="M152" i="1" s="1"/>
  <c r="L154" i="1"/>
  <c r="L152" i="1" s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I143" i="1" s="1"/>
  <c r="I131" i="1" s="1"/>
  <c r="J144" i="1"/>
  <c r="I144" i="1"/>
  <c r="J142" i="1"/>
  <c r="N140" i="1"/>
  <c r="N138" i="1" s="1"/>
  <c r="M140" i="1"/>
  <c r="M138" i="1" s="1"/>
  <c r="L140" i="1"/>
  <c r="P139" i="1"/>
  <c r="O139" i="1"/>
  <c r="N137" i="1"/>
  <c r="M137" i="1"/>
  <c r="L137" i="1"/>
  <c r="P136" i="1"/>
  <c r="O136" i="1"/>
  <c r="P133" i="1"/>
  <c r="O133" i="1"/>
  <c r="N133" i="1"/>
  <c r="M133" i="1"/>
  <c r="L133" i="1"/>
  <c r="N127" i="1"/>
  <c r="M127" i="1"/>
  <c r="M125" i="1" s="1"/>
  <c r="L127" i="1"/>
  <c r="L125" i="1" s="1"/>
  <c r="P126" i="1"/>
  <c r="O126" i="1"/>
  <c r="N124" i="1"/>
  <c r="M124" i="1"/>
  <c r="P124" i="1" s="1"/>
  <c r="L124" i="1"/>
  <c r="L122" i="1" s="1"/>
  <c r="O122" i="1" s="1"/>
  <c r="P123" i="1"/>
  <c r="O123" i="1"/>
  <c r="N120" i="1"/>
  <c r="M120" i="1"/>
  <c r="P120" i="1" s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I102" i="1"/>
  <c r="I100" i="1"/>
  <c r="I99" i="1"/>
  <c r="I87" i="1" s="1"/>
  <c r="I98" i="1"/>
  <c r="I86" i="1" s="1"/>
  <c r="N96" i="1"/>
  <c r="N94" i="1" s="1"/>
  <c r="M96" i="1"/>
  <c r="M94" i="1" s="1"/>
  <c r="P94" i="1" s="1"/>
  <c r="L96" i="1"/>
  <c r="L94" i="1" s="1"/>
  <c r="O94" i="1" s="1"/>
  <c r="P95" i="1"/>
  <c r="O95" i="1"/>
  <c r="N93" i="1"/>
  <c r="M93" i="1"/>
  <c r="M91" i="1" s="1"/>
  <c r="L93" i="1"/>
  <c r="L91" i="1" s="1"/>
  <c r="P92" i="1"/>
  <c r="O92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L72" i="1" s="1"/>
  <c r="O72" i="1" s="1"/>
  <c r="P73" i="1"/>
  <c r="O73" i="1"/>
  <c r="N71" i="1"/>
  <c r="M71" i="1"/>
  <c r="M69" i="1" s="1"/>
  <c r="L71" i="1"/>
  <c r="L69" i="1" s="1"/>
  <c r="P70" i="1"/>
  <c r="O70" i="1"/>
  <c r="O67" i="1"/>
  <c r="N67" i="1"/>
  <c r="M67" i="1"/>
  <c r="L67" i="1"/>
  <c r="N61" i="1"/>
  <c r="N59" i="1" s="1"/>
  <c r="M61" i="1"/>
  <c r="M59" i="1" s="1"/>
  <c r="L61" i="1"/>
  <c r="L59" i="1" s="1"/>
  <c r="P60" i="1"/>
  <c r="O60" i="1"/>
  <c r="N58" i="1"/>
  <c r="N56" i="1" s="1"/>
  <c r="M58" i="1"/>
  <c r="M56" i="1" s="1"/>
  <c r="L58" i="1"/>
  <c r="P57" i="1"/>
  <c r="O57" i="1"/>
  <c r="P54" i="1"/>
  <c r="N54" i="1"/>
  <c r="M54" i="1"/>
  <c r="L54" i="1"/>
  <c r="O54" i="1" s="1"/>
  <c r="N49" i="1"/>
  <c r="M49" i="1"/>
  <c r="M47" i="1" s="1"/>
  <c r="P47" i="1" s="1"/>
  <c r="L49" i="1"/>
  <c r="L47" i="1" s="1"/>
  <c r="O47" i="1" s="1"/>
  <c r="P48" i="1"/>
  <c r="O48" i="1"/>
  <c r="N46" i="1"/>
  <c r="M46" i="1"/>
  <c r="L46" i="1"/>
  <c r="L44" i="1" s="1"/>
  <c r="P45" i="1"/>
  <c r="O45" i="1"/>
  <c r="O42" i="1"/>
  <c r="N42" i="1"/>
  <c r="M42" i="1"/>
  <c r="L42" i="1"/>
  <c r="P36" i="1"/>
  <c r="N36" i="1"/>
  <c r="M36" i="1"/>
  <c r="P35" i="1"/>
  <c r="O35" i="1"/>
  <c r="N35" i="1"/>
  <c r="M35" i="1"/>
  <c r="L35" i="1"/>
  <c r="P34" i="1"/>
  <c r="N34" i="1"/>
  <c r="M34" i="1"/>
  <c r="M33" i="1"/>
  <c r="P33" i="1" s="1"/>
  <c r="N32" i="1"/>
  <c r="N29" i="1" s="1"/>
  <c r="M32" i="1"/>
  <c r="M29" i="1" s="1"/>
  <c r="L32" i="1"/>
  <c r="M31" i="1"/>
  <c r="P31" i="1" s="1"/>
  <c r="N25" i="1"/>
  <c r="N15" i="1" s="1"/>
  <c r="M25" i="1"/>
  <c r="P25" i="1" s="1"/>
  <c r="L25" i="1"/>
  <c r="P22" i="1"/>
  <c r="O22" i="1"/>
  <c r="N22" i="1"/>
  <c r="M22" i="1"/>
  <c r="L22" i="1"/>
  <c r="M19" i="1"/>
  <c r="P19" i="1" s="1"/>
  <c r="L19" i="1"/>
  <c r="N12" i="1"/>
  <c r="N9" i="1" s="1"/>
  <c r="M12" i="1"/>
  <c r="P12" i="1" s="1"/>
  <c r="L12" i="1"/>
  <c r="O347" i="15" l="1"/>
  <c r="P68" i="18"/>
  <c r="L66" i="17"/>
  <c r="O66" i="17" s="1"/>
  <c r="K417" i="16"/>
  <c r="O88" i="18"/>
  <c r="P152" i="16"/>
  <c r="L119" i="18"/>
  <c r="O119" i="18" s="1"/>
  <c r="I226" i="17"/>
  <c r="K226" i="17" s="1"/>
  <c r="P151" i="17"/>
  <c r="O41" i="14"/>
  <c r="K76" i="15"/>
  <c r="M21" i="18"/>
  <c r="P21" i="18" s="1"/>
  <c r="K417" i="18"/>
  <c r="O149" i="13"/>
  <c r="K559" i="18"/>
  <c r="O134" i="12"/>
  <c r="I65" i="17"/>
  <c r="K65" i="17" s="1"/>
  <c r="L544" i="9"/>
  <c r="O544" i="9" s="1"/>
  <c r="K364" i="18"/>
  <c r="M402" i="18"/>
  <c r="P402" i="18" s="1"/>
  <c r="K364" i="16"/>
  <c r="L34" i="17"/>
  <c r="O34" i="17" s="1"/>
  <c r="O263" i="16"/>
  <c r="O181" i="16"/>
  <c r="O546" i="17"/>
  <c r="O301" i="18"/>
  <c r="P167" i="16"/>
  <c r="O165" i="16"/>
  <c r="P181" i="16"/>
  <c r="O347" i="18"/>
  <c r="K785" i="14"/>
  <c r="L389" i="16"/>
  <c r="O389" i="16" s="1"/>
  <c r="M315" i="17"/>
  <c r="P315" i="17" s="1"/>
  <c r="O347" i="17"/>
  <c r="I543" i="2"/>
  <c r="K543" i="2" s="1"/>
  <c r="L523" i="18"/>
  <c r="O523" i="18" s="1"/>
  <c r="P55" i="18"/>
  <c r="O90" i="18"/>
  <c r="O300" i="18"/>
  <c r="P23" i="18"/>
  <c r="O277" i="17"/>
  <c r="O167" i="18"/>
  <c r="P91" i="18"/>
  <c r="L66" i="12"/>
  <c r="O66" i="12" s="1"/>
  <c r="M402" i="17"/>
  <c r="P402" i="17" s="1"/>
  <c r="O330" i="17"/>
  <c r="I131" i="17"/>
  <c r="K131" i="17" s="1"/>
  <c r="P167" i="18"/>
  <c r="P277" i="18"/>
  <c r="O43" i="18"/>
  <c r="L132" i="16"/>
  <c r="O132" i="16" s="1"/>
  <c r="K785" i="17"/>
  <c r="O168" i="18"/>
  <c r="P300" i="18"/>
  <c r="M298" i="18"/>
  <c r="P298" i="18" s="1"/>
  <c r="P43" i="18"/>
  <c r="K364" i="17"/>
  <c r="O181" i="18"/>
  <c r="O91" i="18"/>
  <c r="O55" i="12"/>
  <c r="L13" i="18"/>
  <c r="L11" i="18" s="1"/>
  <c r="M165" i="18"/>
  <c r="P165" i="18" s="1"/>
  <c r="O298" i="18"/>
  <c r="O134" i="18"/>
  <c r="K77" i="12"/>
  <c r="M88" i="18"/>
  <c r="P88" i="18" s="1"/>
  <c r="O631" i="16"/>
  <c r="O404" i="8"/>
  <c r="M315" i="16"/>
  <c r="P315" i="16" s="1"/>
  <c r="M16" i="17"/>
  <c r="P16" i="17" s="1"/>
  <c r="O23" i="18"/>
  <c r="P181" i="18"/>
  <c r="O279" i="17"/>
  <c r="O330" i="13"/>
  <c r="P151" i="14"/>
  <c r="O33" i="18"/>
  <c r="P279" i="18"/>
  <c r="K434" i="18"/>
  <c r="I418" i="18"/>
  <c r="K418" i="18" s="1"/>
  <c r="P300" i="16"/>
  <c r="P263" i="18"/>
  <c r="P134" i="18"/>
  <c r="P345" i="16"/>
  <c r="P301" i="18"/>
  <c r="O277" i="18"/>
  <c r="N66" i="18"/>
  <c r="P66" i="18" s="1"/>
  <c r="O263" i="18"/>
  <c r="O68" i="18"/>
  <c r="M66" i="17"/>
  <c r="P66" i="17" s="1"/>
  <c r="P88" i="17"/>
  <c r="P279" i="17"/>
  <c r="K288" i="18"/>
  <c r="P138" i="18"/>
  <c r="M119" i="13"/>
  <c r="P119" i="13" s="1"/>
  <c r="K434" i="15"/>
  <c r="P121" i="17"/>
  <c r="M119" i="18"/>
  <c r="P119" i="18" s="1"/>
  <c r="O279" i="18"/>
  <c r="P183" i="18"/>
  <c r="K365" i="11"/>
  <c r="P168" i="16"/>
  <c r="P277" i="17"/>
  <c r="O183" i="18"/>
  <c r="L119" i="17"/>
  <c r="O119" i="17" s="1"/>
  <c r="P151" i="13"/>
  <c r="P151" i="16"/>
  <c r="O151" i="16"/>
  <c r="O330" i="16"/>
  <c r="L227" i="17"/>
  <c r="P151" i="18"/>
  <c r="L402" i="18"/>
  <c r="O402" i="18" s="1"/>
  <c r="L165" i="18"/>
  <c r="O165" i="18" s="1"/>
  <c r="O149" i="18"/>
  <c r="L261" i="18"/>
  <c r="O261" i="18" s="1"/>
  <c r="L444" i="17"/>
  <c r="O444" i="17" s="1"/>
  <c r="O318" i="18"/>
  <c r="M132" i="18"/>
  <c r="P132" i="18" s="1"/>
  <c r="L16" i="18"/>
  <c r="O16" i="18" s="1"/>
  <c r="P328" i="16"/>
  <c r="O167" i="16"/>
  <c r="O151" i="18"/>
  <c r="O546" i="18"/>
  <c r="L66" i="18"/>
  <c r="M24" i="18"/>
  <c r="P16" i="18"/>
  <c r="N24" i="14"/>
  <c r="P43" i="14"/>
  <c r="O183" i="15"/>
  <c r="L402" i="17"/>
  <c r="O402" i="17" s="1"/>
  <c r="O345" i="16"/>
  <c r="L34" i="18"/>
  <c r="O34" i="18" s="1"/>
  <c r="P26" i="18"/>
  <c r="O330" i="18"/>
  <c r="N24" i="18"/>
  <c r="O24" i="18" s="1"/>
  <c r="O26" i="18"/>
  <c r="O23" i="15"/>
  <c r="L34" i="16"/>
  <c r="O34" i="16" s="1"/>
  <c r="K275" i="17"/>
  <c r="P263" i="16"/>
  <c r="P298" i="16"/>
  <c r="P183" i="16"/>
  <c r="M41" i="18"/>
  <c r="P41" i="18" s="1"/>
  <c r="M20" i="18"/>
  <c r="M18" i="18" s="1"/>
  <c r="L227" i="18"/>
  <c r="P347" i="18"/>
  <c r="P298" i="2"/>
  <c r="L16" i="17"/>
  <c r="O16" i="17" s="1"/>
  <c r="P14" i="18"/>
  <c r="L31" i="13"/>
  <c r="O31" i="13" s="1"/>
  <c r="N345" i="18"/>
  <c r="O132" i="18"/>
  <c r="O328" i="18"/>
  <c r="M261" i="18"/>
  <c r="P261" i="18" s="1"/>
  <c r="L30" i="18"/>
  <c r="O30" i="18" s="1"/>
  <c r="L20" i="14"/>
  <c r="L18" i="14" s="1"/>
  <c r="L685" i="15"/>
  <c r="O685" i="15" s="1"/>
  <c r="I226" i="15"/>
  <c r="K226" i="15" s="1"/>
  <c r="P68" i="16"/>
  <c r="M13" i="17"/>
  <c r="M11" i="17" s="1"/>
  <c r="N20" i="17"/>
  <c r="N18" i="17" s="1"/>
  <c r="P90" i="17"/>
  <c r="K537" i="18"/>
  <c r="M53" i="18"/>
  <c r="P53" i="18" s="1"/>
  <c r="P391" i="18"/>
  <c r="M389" i="18"/>
  <c r="P389" i="18" s="1"/>
  <c r="L315" i="14"/>
  <c r="O315" i="14" s="1"/>
  <c r="L419" i="16"/>
  <c r="O419" i="16" s="1"/>
  <c r="M261" i="16"/>
  <c r="P261" i="16" s="1"/>
  <c r="O391" i="18"/>
  <c r="L389" i="18"/>
  <c r="O389" i="18" s="1"/>
  <c r="P317" i="18"/>
  <c r="K174" i="18"/>
  <c r="I164" i="18"/>
  <c r="K164" i="18" s="1"/>
  <c r="O317" i="18"/>
  <c r="M149" i="18"/>
  <c r="P149" i="18" s="1"/>
  <c r="L31" i="17"/>
  <c r="O31" i="17" s="1"/>
  <c r="O347" i="16"/>
  <c r="K275" i="8"/>
  <c r="O183" i="9"/>
  <c r="P404" i="12"/>
  <c r="I543" i="13"/>
  <c r="K543" i="13" s="1"/>
  <c r="P134" i="16"/>
  <c r="J275" i="16"/>
  <c r="K275" i="16" s="1"/>
  <c r="L30" i="17"/>
  <c r="O30" i="17" s="1"/>
  <c r="P315" i="18"/>
  <c r="O315" i="18"/>
  <c r="P56" i="18"/>
  <c r="L21" i="18"/>
  <c r="O21" i="18" s="1"/>
  <c r="L20" i="18"/>
  <c r="L18" i="18" s="1"/>
  <c r="P330" i="18"/>
  <c r="N13" i="18"/>
  <c r="N10" i="18" s="1"/>
  <c r="N20" i="18"/>
  <c r="M66" i="14"/>
  <c r="P66" i="14" s="1"/>
  <c r="L629" i="17"/>
  <c r="O629" i="17" s="1"/>
  <c r="O181" i="17"/>
  <c r="K365" i="18"/>
  <c r="P328" i="18"/>
  <c r="O36" i="14"/>
  <c r="L523" i="16"/>
  <c r="O523" i="16" s="1"/>
  <c r="O149" i="16"/>
  <c r="L16" i="16"/>
  <c r="L14" i="16" s="1"/>
  <c r="N21" i="17"/>
  <c r="P21" i="17" s="1"/>
  <c r="O90" i="17"/>
  <c r="P330" i="12"/>
  <c r="M414" i="18"/>
  <c r="P414" i="18" s="1"/>
  <c r="K76" i="18"/>
  <c r="I64" i="18"/>
  <c r="K64" i="18" s="1"/>
  <c r="N11" i="18"/>
  <c r="P11" i="18" s="1"/>
  <c r="N9" i="18"/>
  <c r="O41" i="18"/>
  <c r="O26" i="17"/>
  <c r="O446" i="18"/>
  <c r="L444" i="18"/>
  <c r="O444" i="18" s="1"/>
  <c r="I65" i="18"/>
  <c r="K65" i="18" s="1"/>
  <c r="K77" i="18"/>
  <c r="L53" i="18"/>
  <c r="O53" i="18" s="1"/>
  <c r="O55" i="18"/>
  <c r="M10" i="18"/>
  <c r="P29" i="18"/>
  <c r="M28" i="18"/>
  <c r="P28" i="18" s="1"/>
  <c r="P26" i="17"/>
  <c r="K237" i="18"/>
  <c r="I226" i="18"/>
  <c r="O29" i="18"/>
  <c r="P279" i="12"/>
  <c r="M389" i="14"/>
  <c r="P389" i="14" s="1"/>
  <c r="O421" i="18"/>
  <c r="L419" i="18"/>
  <c r="L467" i="18"/>
  <c r="O467" i="18" s="1"/>
  <c r="O12" i="18"/>
  <c r="L9" i="18"/>
  <c r="P165" i="15"/>
  <c r="P56" i="16"/>
  <c r="O23" i="16"/>
  <c r="L419" i="17"/>
  <c r="O419" i="17" s="1"/>
  <c r="O631" i="18"/>
  <c r="L629" i="18"/>
  <c r="O629" i="18" s="1"/>
  <c r="K433" i="18"/>
  <c r="O331" i="18"/>
  <c r="K143" i="18"/>
  <c r="I131" i="18"/>
  <c r="K131" i="18" s="1"/>
  <c r="O19" i="18"/>
  <c r="O134" i="17"/>
  <c r="L132" i="17"/>
  <c r="O132" i="17" s="1"/>
  <c r="O391" i="17"/>
  <c r="L389" i="17"/>
  <c r="O389" i="17" s="1"/>
  <c r="O631" i="12"/>
  <c r="L16" i="14"/>
  <c r="L14" i="14" s="1"/>
  <c r="K559" i="15"/>
  <c r="K364" i="15"/>
  <c r="L315" i="16"/>
  <c r="O315" i="16" s="1"/>
  <c r="I164" i="17"/>
  <c r="K164" i="17" s="1"/>
  <c r="M132" i="15"/>
  <c r="P132" i="15" s="1"/>
  <c r="O134" i="15"/>
  <c r="P151" i="15"/>
  <c r="O43" i="14"/>
  <c r="O55" i="16"/>
  <c r="N345" i="17"/>
  <c r="O345" i="17" s="1"/>
  <c r="O167" i="17"/>
  <c r="O183" i="17"/>
  <c r="P167" i="17"/>
  <c r="O56" i="16"/>
  <c r="L88" i="17"/>
  <c r="O88" i="17" s="1"/>
  <c r="L328" i="17"/>
  <c r="O328" i="17" s="1"/>
  <c r="M165" i="17"/>
  <c r="P165" i="17" s="1"/>
  <c r="P56" i="15"/>
  <c r="P301" i="17"/>
  <c r="P183" i="17"/>
  <c r="M181" i="17"/>
  <c r="P181" i="17" s="1"/>
  <c r="P391" i="17"/>
  <c r="M389" i="17"/>
  <c r="P389" i="17" s="1"/>
  <c r="N53" i="16"/>
  <c r="O53" i="16" s="1"/>
  <c r="L24" i="16"/>
  <c r="O24" i="16" s="1"/>
  <c r="M328" i="17"/>
  <c r="P328" i="17" s="1"/>
  <c r="P330" i="17"/>
  <c r="O469" i="17"/>
  <c r="L467" i="17"/>
  <c r="O467" i="17" s="1"/>
  <c r="L149" i="17"/>
  <c r="O149" i="17" s="1"/>
  <c r="O151" i="17"/>
  <c r="I226" i="14"/>
  <c r="K226" i="14" s="1"/>
  <c r="O300" i="17"/>
  <c r="L261" i="17"/>
  <c r="O261" i="17" s="1"/>
  <c r="O263" i="17"/>
  <c r="L53" i="17"/>
  <c r="O53" i="17" s="1"/>
  <c r="O55" i="17"/>
  <c r="M315" i="10"/>
  <c r="P315" i="10" s="1"/>
  <c r="M402" i="13"/>
  <c r="P402" i="13" s="1"/>
  <c r="M402" i="15"/>
  <c r="P402" i="15" s="1"/>
  <c r="O655" i="16"/>
  <c r="O183" i="16"/>
  <c r="L261" i="16"/>
  <c r="O261" i="16" s="1"/>
  <c r="O298" i="16"/>
  <c r="M132" i="17"/>
  <c r="P132" i="17" s="1"/>
  <c r="O788" i="17"/>
  <c r="P23" i="17"/>
  <c r="M20" i="17"/>
  <c r="O165" i="17"/>
  <c r="P347" i="17"/>
  <c r="M345" i="17"/>
  <c r="P55" i="17"/>
  <c r="M53" i="17"/>
  <c r="P53" i="17" s="1"/>
  <c r="L402" i="16"/>
  <c r="O402" i="16" s="1"/>
  <c r="K76" i="17"/>
  <c r="I64" i="17"/>
  <c r="K64" i="17" s="1"/>
  <c r="P59" i="17"/>
  <c r="P167" i="14"/>
  <c r="L34" i="15"/>
  <c r="O34" i="15" s="1"/>
  <c r="P121" i="16"/>
  <c r="P347" i="16"/>
  <c r="O9" i="17"/>
  <c r="K275" i="14"/>
  <c r="M414" i="17"/>
  <c r="P414" i="17" s="1"/>
  <c r="J417" i="17"/>
  <c r="K417" i="17" s="1"/>
  <c r="K433" i="17"/>
  <c r="O23" i="17"/>
  <c r="L13" i="17"/>
  <c r="L21" i="17"/>
  <c r="L20" i="17"/>
  <c r="P41" i="17"/>
  <c r="L523" i="13"/>
  <c r="O523" i="13" s="1"/>
  <c r="P167" i="15"/>
  <c r="L328" i="16"/>
  <c r="O328" i="16" s="1"/>
  <c r="P55" i="15"/>
  <c r="O300" i="16"/>
  <c r="O544" i="17"/>
  <c r="P280" i="17"/>
  <c r="O280" i="17"/>
  <c r="N24" i="17"/>
  <c r="P24" i="17" s="1"/>
  <c r="N10" i="17"/>
  <c r="P300" i="17"/>
  <c r="L523" i="15"/>
  <c r="O523" i="15" s="1"/>
  <c r="M389" i="15"/>
  <c r="P389" i="15" s="1"/>
  <c r="O317" i="17"/>
  <c r="L315" i="17"/>
  <c r="O315" i="17" s="1"/>
  <c r="O687" i="17"/>
  <c r="L685" i="17"/>
  <c r="O685" i="17" s="1"/>
  <c r="N298" i="17"/>
  <c r="O298" i="17" s="1"/>
  <c r="P43" i="17"/>
  <c r="P26" i="16"/>
  <c r="P263" i="17"/>
  <c r="M261" i="17"/>
  <c r="P261" i="17" s="1"/>
  <c r="O657" i="17"/>
  <c r="O19" i="17"/>
  <c r="O41" i="17"/>
  <c r="O43" i="17"/>
  <c r="O279" i="16"/>
  <c r="N11" i="17"/>
  <c r="N9" i="17"/>
  <c r="P12" i="17"/>
  <c r="M9" i="17"/>
  <c r="K434" i="17"/>
  <c r="I418" i="17"/>
  <c r="K418" i="17" s="1"/>
  <c r="O525" i="17"/>
  <c r="L523" i="17"/>
  <c r="O15" i="17"/>
  <c r="O29" i="17"/>
  <c r="P19" i="17"/>
  <c r="O121" i="16"/>
  <c r="L227" i="16"/>
  <c r="P88" i="16"/>
  <c r="L21" i="16"/>
  <c r="O21" i="16" s="1"/>
  <c r="M24" i="16"/>
  <c r="P24" i="16" s="1"/>
  <c r="P119" i="16"/>
  <c r="P330" i="16"/>
  <c r="L345" i="15"/>
  <c r="N149" i="15"/>
  <c r="O149" i="15" s="1"/>
  <c r="O280" i="16"/>
  <c r="K559" i="16"/>
  <c r="O119" i="16"/>
  <c r="O90" i="16"/>
  <c r="N16" i="16"/>
  <c r="N14" i="16" s="1"/>
  <c r="P14" i="16" s="1"/>
  <c r="P90" i="16"/>
  <c r="K364" i="3"/>
  <c r="K433" i="16"/>
  <c r="M402" i="16"/>
  <c r="P402" i="16" s="1"/>
  <c r="P404" i="16"/>
  <c r="P134" i="13"/>
  <c r="O55" i="15"/>
  <c r="N53" i="15"/>
  <c r="P53" i="15" s="1"/>
  <c r="O68" i="16"/>
  <c r="M149" i="16"/>
  <c r="P149" i="16" s="1"/>
  <c r="O546" i="16"/>
  <c r="O121" i="15"/>
  <c r="L119" i="15"/>
  <c r="O119" i="15" s="1"/>
  <c r="P279" i="3"/>
  <c r="K559" i="12"/>
  <c r="M298" i="14"/>
  <c r="P298" i="14" s="1"/>
  <c r="O280" i="14"/>
  <c r="M315" i="15"/>
  <c r="P315" i="15" s="1"/>
  <c r="O446" i="15"/>
  <c r="P66" i="15"/>
  <c r="L88" i="16"/>
  <c r="O88" i="16" s="1"/>
  <c r="N13" i="16"/>
  <c r="N11" i="16" s="1"/>
  <c r="O26" i="16"/>
  <c r="P391" i="16"/>
  <c r="M389" i="16"/>
  <c r="P389" i="16" s="1"/>
  <c r="M165" i="16"/>
  <c r="P165" i="16" s="1"/>
  <c r="O347" i="11"/>
  <c r="P23" i="11"/>
  <c r="O421" i="15"/>
  <c r="L20" i="16"/>
  <c r="K174" i="16"/>
  <c r="I164" i="16"/>
  <c r="K164" i="16" s="1"/>
  <c r="I131" i="14"/>
  <c r="K131" i="14" s="1"/>
  <c r="K77" i="16"/>
  <c r="I65" i="16"/>
  <c r="K65" i="16" s="1"/>
  <c r="K364" i="14"/>
  <c r="O347" i="14"/>
  <c r="P279" i="16"/>
  <c r="N277" i="16"/>
  <c r="P277" i="16" s="1"/>
  <c r="N20" i="16"/>
  <c r="N18" i="16" s="1"/>
  <c r="O263" i="14"/>
  <c r="O261" i="14"/>
  <c r="P183" i="14"/>
  <c r="O151" i="15"/>
  <c r="N414" i="16"/>
  <c r="O183" i="12"/>
  <c r="N149" i="14"/>
  <c r="P149" i="14" s="1"/>
  <c r="O31" i="14"/>
  <c r="L277" i="15"/>
  <c r="O277" i="15" s="1"/>
  <c r="K77" i="15"/>
  <c r="O657" i="16"/>
  <c r="L685" i="16"/>
  <c r="O685" i="16" s="1"/>
  <c r="I418" i="16"/>
  <c r="K418" i="16" s="1"/>
  <c r="K434" i="16"/>
  <c r="O446" i="16"/>
  <c r="L444" i="16"/>
  <c r="O444" i="16" s="1"/>
  <c r="P21" i="16"/>
  <c r="L30" i="16"/>
  <c r="O33" i="16"/>
  <c r="M9" i="16"/>
  <c r="P12" i="16"/>
  <c r="L13" i="16"/>
  <c r="L11" i="16" s="1"/>
  <c r="P91" i="11"/>
  <c r="L132" i="14"/>
  <c r="O132" i="14" s="1"/>
  <c r="L544" i="15"/>
  <c r="O544" i="15" s="1"/>
  <c r="K364" i="12"/>
  <c r="P331" i="15"/>
  <c r="K237" i="16"/>
  <c r="I226" i="16"/>
  <c r="M20" i="16"/>
  <c r="M13" i="16"/>
  <c r="P23" i="16"/>
  <c r="K76" i="16"/>
  <c r="I64" i="16"/>
  <c r="K64" i="16" s="1"/>
  <c r="P55" i="16"/>
  <c r="M53" i="16"/>
  <c r="N66" i="16"/>
  <c r="P66" i="16" s="1"/>
  <c r="M119" i="15"/>
  <c r="P119" i="15" s="1"/>
  <c r="M414" i="16"/>
  <c r="P414" i="16" s="1"/>
  <c r="O469" i="16"/>
  <c r="L467" i="16"/>
  <c r="O467" i="16" s="1"/>
  <c r="P43" i="16"/>
  <c r="N41" i="16"/>
  <c r="O43" i="16"/>
  <c r="L41" i="16"/>
  <c r="K143" i="16"/>
  <c r="I131" i="16"/>
  <c r="K131" i="16" s="1"/>
  <c r="O12" i="16"/>
  <c r="L9" i="16"/>
  <c r="L181" i="12"/>
  <c r="O181" i="12" s="1"/>
  <c r="P165" i="14"/>
  <c r="O279" i="14"/>
  <c r="N181" i="15"/>
  <c r="O183" i="14"/>
  <c r="I64" i="14"/>
  <c r="K64" i="14" s="1"/>
  <c r="P43" i="15"/>
  <c r="L149" i="14"/>
  <c r="O149" i="14" s="1"/>
  <c r="O68" i="15"/>
  <c r="L66" i="15"/>
  <c r="O66" i="15" s="1"/>
  <c r="L467" i="14"/>
  <c r="O467" i="14" s="1"/>
  <c r="P263" i="14"/>
  <c r="N14" i="15"/>
  <c r="M88" i="15"/>
  <c r="P90" i="15"/>
  <c r="K364" i="11"/>
  <c r="I164" i="13"/>
  <c r="K164" i="13" s="1"/>
  <c r="O55" i="14"/>
  <c r="P279" i="15"/>
  <c r="M277" i="15"/>
  <c r="P277" i="15" s="1"/>
  <c r="M402" i="10"/>
  <c r="P402" i="10" s="1"/>
  <c r="O43" i="13"/>
  <c r="L402" i="14"/>
  <c r="O402" i="14" s="1"/>
  <c r="N181" i="14"/>
  <c r="P181" i="14" s="1"/>
  <c r="O330" i="15"/>
  <c r="L389" i="15"/>
  <c r="O389" i="15" s="1"/>
  <c r="O391" i="15"/>
  <c r="P183" i="15"/>
  <c r="O152" i="15"/>
  <c r="P152" i="15"/>
  <c r="O43" i="15"/>
  <c r="L41" i="15"/>
  <c r="O41" i="15" s="1"/>
  <c r="P68" i="15"/>
  <c r="L315" i="15"/>
  <c r="O315" i="15" s="1"/>
  <c r="O90" i="15"/>
  <c r="N88" i="15"/>
  <c r="O88" i="15" s="1"/>
  <c r="P41" i="15"/>
  <c r="P55" i="14"/>
  <c r="O657" i="15"/>
  <c r="N655" i="15"/>
  <c r="L24" i="15"/>
  <c r="O26" i="15"/>
  <c r="L16" i="15"/>
  <c r="O16" i="15" s="1"/>
  <c r="P300" i="15"/>
  <c r="M298" i="15"/>
  <c r="P298" i="15" s="1"/>
  <c r="P15" i="15"/>
  <c r="O238" i="15"/>
  <c r="L227" i="15"/>
  <c r="I164" i="15"/>
  <c r="K164" i="15" s="1"/>
  <c r="K174" i="15"/>
  <c r="N24" i="15"/>
  <c r="P263" i="15"/>
  <c r="N261" i="15"/>
  <c r="O263" i="15"/>
  <c r="O277" i="14"/>
  <c r="P348" i="15"/>
  <c r="O348" i="15"/>
  <c r="L298" i="15"/>
  <c r="O298" i="15" s="1"/>
  <c r="P9" i="15"/>
  <c r="O29" i="15"/>
  <c r="P23" i="15"/>
  <c r="M20" i="15"/>
  <c r="M13" i="15"/>
  <c r="M21" i="15"/>
  <c r="L31" i="15"/>
  <c r="O31" i="15" s="1"/>
  <c r="O33" i="15"/>
  <c r="L30" i="15"/>
  <c r="O30" i="15" s="1"/>
  <c r="O15" i="15"/>
  <c r="O631" i="15"/>
  <c r="L629" i="15"/>
  <c r="O629" i="15" s="1"/>
  <c r="P53" i="13"/>
  <c r="L402" i="15"/>
  <c r="O402" i="15" s="1"/>
  <c r="O9" i="15"/>
  <c r="L165" i="15"/>
  <c r="O165" i="15" s="1"/>
  <c r="O167" i="15"/>
  <c r="P56" i="14"/>
  <c r="K433" i="15"/>
  <c r="I417" i="15"/>
  <c r="K417" i="15" s="1"/>
  <c r="P330" i="15"/>
  <c r="N328" i="15"/>
  <c r="P328" i="15" s="1"/>
  <c r="P347" i="15"/>
  <c r="N345" i="15"/>
  <c r="P345" i="15" s="1"/>
  <c r="P29" i="15"/>
  <c r="M28" i="15"/>
  <c r="P28" i="15" s="1"/>
  <c r="L13" i="15"/>
  <c r="L467" i="15"/>
  <c r="O467" i="15" s="1"/>
  <c r="O469" i="15"/>
  <c r="P419" i="15"/>
  <c r="M414" i="15"/>
  <c r="P414" i="15" s="1"/>
  <c r="P264" i="15"/>
  <c r="O264" i="15"/>
  <c r="N20" i="15"/>
  <c r="N18" i="15" s="1"/>
  <c r="N13" i="15"/>
  <c r="N21" i="15"/>
  <c r="O21" i="15" s="1"/>
  <c r="P26" i="15"/>
  <c r="M16" i="15"/>
  <c r="P16" i="15" s="1"/>
  <c r="M24" i="15"/>
  <c r="L20" i="15"/>
  <c r="N9" i="15"/>
  <c r="L419" i="11"/>
  <c r="O419" i="11" s="1"/>
  <c r="L523" i="12"/>
  <c r="O523" i="12" s="1"/>
  <c r="O264" i="12"/>
  <c r="N21" i="13"/>
  <c r="P21" i="13" s="1"/>
  <c r="O279" i="13"/>
  <c r="O53" i="14"/>
  <c r="O264" i="14"/>
  <c r="O33" i="14"/>
  <c r="O631" i="14"/>
  <c r="L523" i="14"/>
  <c r="O523" i="14" s="1"/>
  <c r="O525" i="14"/>
  <c r="O421" i="14"/>
  <c r="L419" i="14"/>
  <c r="O419" i="14" s="1"/>
  <c r="P261" i="14"/>
  <c r="P328" i="14"/>
  <c r="O23" i="14"/>
  <c r="P317" i="14"/>
  <c r="M315" i="14"/>
  <c r="P315" i="14" s="1"/>
  <c r="L34" i="11"/>
  <c r="O34" i="11" s="1"/>
  <c r="I418" i="11"/>
  <c r="K418" i="11" s="1"/>
  <c r="P264" i="12"/>
  <c r="L119" i="12"/>
  <c r="O119" i="12" s="1"/>
  <c r="L227" i="12"/>
  <c r="O167" i="12"/>
  <c r="M315" i="13"/>
  <c r="P315" i="13" s="1"/>
  <c r="I418" i="14"/>
  <c r="K418" i="14" s="1"/>
  <c r="P330" i="14"/>
  <c r="P152" i="14"/>
  <c r="L24" i="14"/>
  <c r="M119" i="14"/>
  <c r="P119" i="14" s="1"/>
  <c r="M132" i="14"/>
  <c r="P132" i="14" s="1"/>
  <c r="O55" i="3"/>
  <c r="O23" i="12"/>
  <c r="O300" i="14"/>
  <c r="L298" i="14"/>
  <c r="O298" i="14" s="1"/>
  <c r="P55" i="9"/>
  <c r="L402" i="10"/>
  <c r="O402" i="10" s="1"/>
  <c r="O279" i="10"/>
  <c r="K364" i="13"/>
  <c r="O26" i="14"/>
  <c r="O391" i="14"/>
  <c r="L389" i="14"/>
  <c r="O389" i="14" s="1"/>
  <c r="O279" i="3"/>
  <c r="P347" i="11"/>
  <c r="L16" i="12"/>
  <c r="O16" i="12" s="1"/>
  <c r="O56" i="14"/>
  <c r="L786" i="14"/>
  <c r="O786" i="14" s="1"/>
  <c r="O788" i="14"/>
  <c r="L66" i="14"/>
  <c r="O66" i="14" s="1"/>
  <c r="L13" i="14"/>
  <c r="O184" i="14"/>
  <c r="M41" i="14"/>
  <c r="P41" i="14" s="1"/>
  <c r="P279" i="14"/>
  <c r="M277" i="14"/>
  <c r="P277" i="14" s="1"/>
  <c r="O348" i="14"/>
  <c r="L30" i="14"/>
  <c r="O30" i="14" s="1"/>
  <c r="O121" i="14"/>
  <c r="L119" i="14"/>
  <c r="O119" i="14" s="1"/>
  <c r="L523" i="9"/>
  <c r="O523" i="9" s="1"/>
  <c r="O134" i="11"/>
  <c r="O90" i="13"/>
  <c r="M298" i="13"/>
  <c r="P298" i="13" s="1"/>
  <c r="O152" i="13"/>
  <c r="L66" i="13"/>
  <c r="O66" i="13" s="1"/>
  <c r="N345" i="14"/>
  <c r="O345" i="14" s="1"/>
  <c r="O446" i="14"/>
  <c r="L165" i="14"/>
  <c r="O165" i="14" s="1"/>
  <c r="O167" i="14"/>
  <c r="O90" i="14"/>
  <c r="L88" i="14"/>
  <c r="P347" i="8"/>
  <c r="K559" i="11"/>
  <c r="O279" i="11"/>
  <c r="O546" i="14"/>
  <c r="L544" i="14"/>
  <c r="P26" i="14"/>
  <c r="M24" i="14"/>
  <c r="M16" i="14"/>
  <c r="N277" i="10"/>
  <c r="O277" i="10" s="1"/>
  <c r="M13" i="13"/>
  <c r="M11" i="13" s="1"/>
  <c r="K559" i="14"/>
  <c r="I543" i="14"/>
  <c r="K543" i="14" s="1"/>
  <c r="P404" i="14"/>
  <c r="M402" i="14"/>
  <c r="P402" i="14" s="1"/>
  <c r="O328" i="14"/>
  <c r="P347" i="14"/>
  <c r="N14" i="14"/>
  <c r="N9" i="14"/>
  <c r="N20" i="14"/>
  <c r="N18" i="14" s="1"/>
  <c r="N13" i="14"/>
  <c r="O330" i="14"/>
  <c r="P9" i="14"/>
  <c r="M132" i="10"/>
  <c r="P132" i="10" s="1"/>
  <c r="N24" i="12"/>
  <c r="P24" i="12" s="1"/>
  <c r="P59" i="12"/>
  <c r="M389" i="13"/>
  <c r="P389" i="13" s="1"/>
  <c r="L685" i="14"/>
  <c r="O685" i="14" s="1"/>
  <c r="O687" i="14"/>
  <c r="P419" i="14"/>
  <c r="M414" i="14"/>
  <c r="P414" i="14" s="1"/>
  <c r="O29" i="14"/>
  <c r="P53" i="14"/>
  <c r="O12" i="14"/>
  <c r="L9" i="14"/>
  <c r="M315" i="8"/>
  <c r="P315" i="8" s="1"/>
  <c r="O263" i="12"/>
  <c r="O331" i="13"/>
  <c r="P165" i="13"/>
  <c r="K77" i="14"/>
  <c r="I65" i="14"/>
  <c r="K65" i="14" s="1"/>
  <c r="O168" i="14"/>
  <c r="P90" i="14"/>
  <c r="N88" i="14"/>
  <c r="P88" i="14" s="1"/>
  <c r="O238" i="14"/>
  <c r="L227" i="14"/>
  <c r="O19" i="14"/>
  <c r="L655" i="6"/>
  <c r="O655" i="6" s="1"/>
  <c r="K559" i="10"/>
  <c r="K785" i="11"/>
  <c r="P331" i="13"/>
  <c r="L315" i="13"/>
  <c r="O315" i="13" s="1"/>
  <c r="L132" i="13"/>
  <c r="O132" i="13" s="1"/>
  <c r="L227" i="13"/>
  <c r="M544" i="14"/>
  <c r="P544" i="14" s="1"/>
  <c r="P545" i="14"/>
  <c r="K433" i="14"/>
  <c r="I417" i="14"/>
  <c r="K417" i="14" s="1"/>
  <c r="O331" i="14"/>
  <c r="O21" i="14"/>
  <c r="P23" i="14"/>
  <c r="M20" i="14"/>
  <c r="M13" i="14"/>
  <c r="M21" i="14"/>
  <c r="P21" i="14" s="1"/>
  <c r="M28" i="14"/>
  <c r="P28" i="14" s="1"/>
  <c r="O53" i="11"/>
  <c r="L165" i="12"/>
  <c r="O165" i="12" s="1"/>
  <c r="P23" i="13"/>
  <c r="O300" i="13"/>
  <c r="L298" i="13"/>
  <c r="O298" i="13" s="1"/>
  <c r="L444" i="12"/>
  <c r="O444" i="12" s="1"/>
  <c r="P328" i="10"/>
  <c r="P69" i="10"/>
  <c r="P53" i="11"/>
  <c r="L544" i="13"/>
  <c r="O544" i="13" s="1"/>
  <c r="N20" i="13"/>
  <c r="N18" i="13" s="1"/>
  <c r="L655" i="13"/>
  <c r="O655" i="13" s="1"/>
  <c r="O657" i="13"/>
  <c r="K433" i="13"/>
  <c r="J417" i="13"/>
  <c r="K417" i="13" s="1"/>
  <c r="M345" i="11"/>
  <c r="P345" i="11" s="1"/>
  <c r="L24" i="12"/>
  <c r="M20" i="13"/>
  <c r="M18" i="13" s="1"/>
  <c r="N24" i="13"/>
  <c r="O24" i="13" s="1"/>
  <c r="P44" i="13"/>
  <c r="O43" i="9"/>
  <c r="O330" i="10"/>
  <c r="P328" i="11"/>
  <c r="L149" i="12"/>
  <c r="O149" i="12" s="1"/>
  <c r="O151" i="13"/>
  <c r="N16" i="13"/>
  <c r="N14" i="13" s="1"/>
  <c r="O26" i="13"/>
  <c r="P43" i="8"/>
  <c r="I164" i="12"/>
  <c r="K164" i="12" s="1"/>
  <c r="L629" i="13"/>
  <c r="O629" i="13" s="1"/>
  <c r="P167" i="13"/>
  <c r="M277" i="13"/>
  <c r="P277" i="13" s="1"/>
  <c r="P279" i="13"/>
  <c r="O121" i="13"/>
  <c r="L119" i="13"/>
  <c r="O119" i="13" s="1"/>
  <c r="O347" i="13"/>
  <c r="O68" i="11"/>
  <c r="O43" i="12"/>
  <c r="L20" i="12"/>
  <c r="L18" i="12" s="1"/>
  <c r="L41" i="13"/>
  <c r="O41" i="13" s="1"/>
  <c r="P165" i="11"/>
  <c r="O345" i="13"/>
  <c r="O55" i="13"/>
  <c r="P55" i="13"/>
  <c r="O404" i="13"/>
  <c r="L402" i="13"/>
  <c r="O402" i="13" s="1"/>
  <c r="O419" i="13"/>
  <c r="O300" i="11"/>
  <c r="L345" i="11"/>
  <c r="O345" i="11" s="1"/>
  <c r="O90" i="12"/>
  <c r="P152" i="12"/>
  <c r="L13" i="12"/>
  <c r="L11" i="12" s="1"/>
  <c r="L389" i="13"/>
  <c r="O389" i="13" s="1"/>
  <c r="M149" i="13"/>
  <c r="P149" i="13" s="1"/>
  <c r="M345" i="13"/>
  <c r="P345" i="13" s="1"/>
  <c r="P347" i="13"/>
  <c r="K143" i="13"/>
  <c r="I131" i="13"/>
  <c r="K131" i="13" s="1"/>
  <c r="P43" i="13"/>
  <c r="M41" i="13"/>
  <c r="P263" i="13"/>
  <c r="O263" i="13"/>
  <c r="K434" i="13"/>
  <c r="I418" i="13"/>
  <c r="K418" i="13" s="1"/>
  <c r="P183" i="13"/>
  <c r="N181" i="13"/>
  <c r="P181" i="13" s="1"/>
  <c r="I65" i="13"/>
  <c r="K65" i="13" s="1"/>
  <c r="K77" i="13"/>
  <c r="L30" i="13"/>
  <c r="O30" i="13" s="1"/>
  <c r="O167" i="13"/>
  <c r="L165" i="13"/>
  <c r="O165" i="13" s="1"/>
  <c r="O23" i="13"/>
  <c r="L20" i="13"/>
  <c r="L13" i="13"/>
  <c r="L11" i="13" s="1"/>
  <c r="O19" i="13"/>
  <c r="O469" i="13"/>
  <c r="L467" i="13"/>
  <c r="O467" i="13" s="1"/>
  <c r="N261" i="13"/>
  <c r="O421" i="13"/>
  <c r="M328" i="13"/>
  <c r="P328" i="13" s="1"/>
  <c r="P330" i="13"/>
  <c r="O29" i="13"/>
  <c r="I64" i="13"/>
  <c r="K64" i="13" s="1"/>
  <c r="K76" i="13"/>
  <c r="L16" i="13"/>
  <c r="P19" i="13"/>
  <c r="L34" i="13"/>
  <c r="O34" i="13" s="1"/>
  <c r="L21" i="13"/>
  <c r="O55" i="10"/>
  <c r="O348" i="10"/>
  <c r="M119" i="11"/>
  <c r="P119" i="11" s="1"/>
  <c r="O238" i="12"/>
  <c r="O91" i="12"/>
  <c r="L444" i="13"/>
  <c r="O444" i="13" s="1"/>
  <c r="L328" i="13"/>
  <c r="O328" i="13" s="1"/>
  <c r="M414" i="13"/>
  <c r="P414" i="13" s="1"/>
  <c r="P419" i="13"/>
  <c r="O184" i="13"/>
  <c r="O15" i="13"/>
  <c r="P68" i="13"/>
  <c r="M66" i="13"/>
  <c r="P66" i="13" s="1"/>
  <c r="N11" i="13"/>
  <c r="N9" i="13"/>
  <c r="P12" i="13"/>
  <c r="M9" i="13"/>
  <c r="O168" i="13"/>
  <c r="P26" i="13"/>
  <c r="M16" i="13"/>
  <c r="O12" i="13"/>
  <c r="L9" i="13"/>
  <c r="O183" i="13"/>
  <c r="K785" i="9"/>
  <c r="K237" i="13"/>
  <c r="I226" i="13"/>
  <c r="O53" i="13"/>
  <c r="N88" i="13"/>
  <c r="P90" i="13"/>
  <c r="M13" i="11"/>
  <c r="M10" i="11" s="1"/>
  <c r="P300" i="12"/>
  <c r="O26" i="12"/>
  <c r="P391" i="12"/>
  <c r="M389" i="12"/>
  <c r="P389" i="12" s="1"/>
  <c r="O279" i="12"/>
  <c r="L277" i="12"/>
  <c r="O277" i="12" s="1"/>
  <c r="O53" i="10"/>
  <c r="P351" i="12"/>
  <c r="O264" i="9"/>
  <c r="K288" i="9"/>
  <c r="O184" i="10"/>
  <c r="N277" i="11"/>
  <c r="O277" i="11" s="1"/>
  <c r="P184" i="12"/>
  <c r="L685" i="12"/>
  <c r="O685" i="12" s="1"/>
  <c r="L149" i="10"/>
  <c r="O149" i="10" s="1"/>
  <c r="P279" i="10"/>
  <c r="L523" i="11"/>
  <c r="O523" i="11" s="1"/>
  <c r="O66" i="11"/>
  <c r="N24" i="11"/>
  <c r="O55" i="11"/>
  <c r="N20" i="12"/>
  <c r="M119" i="12"/>
  <c r="P119" i="12" s="1"/>
  <c r="O657" i="12"/>
  <c r="L655" i="12"/>
  <c r="O655" i="12" s="1"/>
  <c r="L31" i="12"/>
  <c r="O31" i="12" s="1"/>
  <c r="L34" i="12"/>
  <c r="O34" i="12" s="1"/>
  <c r="O36" i="12"/>
  <c r="L119" i="10"/>
  <c r="O119" i="10" s="1"/>
  <c r="K288" i="10"/>
  <c r="L13" i="10"/>
  <c r="L11" i="10" s="1"/>
  <c r="N10" i="11"/>
  <c r="N8" i="11" s="1"/>
  <c r="P26" i="11"/>
  <c r="O43" i="11"/>
  <c r="P345" i="10"/>
  <c r="M298" i="12"/>
  <c r="P298" i="12" s="1"/>
  <c r="M277" i="12"/>
  <c r="P277" i="12" s="1"/>
  <c r="L53" i="12"/>
  <c r="O53" i="12" s="1"/>
  <c r="L544" i="6"/>
  <c r="O544" i="6" s="1"/>
  <c r="L66" i="9"/>
  <c r="O66" i="9" s="1"/>
  <c r="O657" i="10"/>
  <c r="P55" i="10"/>
  <c r="P16" i="11"/>
  <c r="N20" i="11"/>
  <c r="N18" i="11" s="1"/>
  <c r="N328" i="12"/>
  <c r="P328" i="12" s="1"/>
  <c r="P167" i="12"/>
  <c r="M165" i="12"/>
  <c r="P165" i="12" s="1"/>
  <c r="O181" i="10"/>
  <c r="P167" i="10"/>
  <c r="L261" i="12"/>
  <c r="O261" i="12" s="1"/>
  <c r="P91" i="12"/>
  <c r="P149" i="12"/>
  <c r="O33" i="12"/>
  <c r="L30" i="12"/>
  <c r="O30" i="12" s="1"/>
  <c r="P183" i="12"/>
  <c r="M181" i="12"/>
  <c r="P181" i="12" s="1"/>
  <c r="O404" i="12"/>
  <c r="L402" i="12"/>
  <c r="O402" i="12" s="1"/>
  <c r="N13" i="12"/>
  <c r="N11" i="12" s="1"/>
  <c r="N21" i="12"/>
  <c r="P21" i="12" s="1"/>
  <c r="P43" i="6"/>
  <c r="O41" i="9"/>
  <c r="M132" i="9"/>
  <c r="P132" i="9" s="1"/>
  <c r="P135" i="11"/>
  <c r="N132" i="11"/>
  <c r="O132" i="11" s="1"/>
  <c r="O183" i="11"/>
  <c r="I64" i="11"/>
  <c r="K64" i="11" s="1"/>
  <c r="L227" i="11"/>
  <c r="O26" i="11"/>
  <c r="M315" i="12"/>
  <c r="P315" i="12" s="1"/>
  <c r="M66" i="12"/>
  <c r="P66" i="12" s="1"/>
  <c r="P151" i="12"/>
  <c r="O546" i="12"/>
  <c r="L544" i="12"/>
  <c r="O544" i="12" s="1"/>
  <c r="P23" i="12"/>
  <c r="M13" i="12"/>
  <c r="O41" i="11"/>
  <c r="P41" i="11"/>
  <c r="O21" i="11"/>
  <c r="K434" i="12"/>
  <c r="I418" i="12"/>
  <c r="K418" i="12" s="1"/>
  <c r="M41" i="12"/>
  <c r="P43" i="12"/>
  <c r="I226" i="11"/>
  <c r="K226" i="11" s="1"/>
  <c r="P167" i="11"/>
  <c r="O421" i="12"/>
  <c r="L419" i="12"/>
  <c r="P347" i="12"/>
  <c r="N345" i="12"/>
  <c r="P345" i="12" s="1"/>
  <c r="O300" i="12"/>
  <c r="L298" i="12"/>
  <c r="O298" i="12" s="1"/>
  <c r="O41" i="12"/>
  <c r="O12" i="12"/>
  <c r="L9" i="12"/>
  <c r="P12" i="12"/>
  <c r="M9" i="12"/>
  <c r="O391" i="9"/>
  <c r="P347" i="10"/>
  <c r="O165" i="11"/>
  <c r="O317" i="12"/>
  <c r="L315" i="12"/>
  <c r="O315" i="12" s="1"/>
  <c r="I64" i="12"/>
  <c r="K64" i="12" s="1"/>
  <c r="K76" i="12"/>
  <c r="K248" i="12"/>
  <c r="I226" i="12"/>
  <c r="P19" i="12"/>
  <c r="O279" i="7"/>
  <c r="K364" i="10"/>
  <c r="O330" i="11"/>
  <c r="O238" i="11"/>
  <c r="M21" i="11"/>
  <c r="P21" i="11" s="1"/>
  <c r="L24" i="11"/>
  <c r="P55" i="12"/>
  <c r="M53" i="12"/>
  <c r="P53" i="12" s="1"/>
  <c r="P280" i="12"/>
  <c r="P90" i="12"/>
  <c r="N14" i="12"/>
  <c r="N9" i="12"/>
  <c r="P263" i="12"/>
  <c r="M261" i="12"/>
  <c r="P261" i="12" s="1"/>
  <c r="P134" i="12"/>
  <c r="N132" i="12"/>
  <c r="O132" i="12" s="1"/>
  <c r="N88" i="12"/>
  <c r="O88" i="12" s="1"/>
  <c r="O347" i="10"/>
  <c r="K417" i="11"/>
  <c r="M20" i="11"/>
  <c r="M18" i="11" s="1"/>
  <c r="O23" i="11"/>
  <c r="L328" i="12"/>
  <c r="O330" i="12"/>
  <c r="P523" i="12"/>
  <c r="M414" i="12"/>
  <c r="P414" i="12" s="1"/>
  <c r="O29" i="12"/>
  <c r="O15" i="12"/>
  <c r="O391" i="12"/>
  <c r="L389" i="12"/>
  <c r="O389" i="12" s="1"/>
  <c r="P330" i="9"/>
  <c r="K433" i="11"/>
  <c r="O328" i="11"/>
  <c r="J417" i="12"/>
  <c r="K417" i="12" s="1"/>
  <c r="K433" i="12"/>
  <c r="O469" i="12"/>
  <c r="L467" i="12"/>
  <c r="O467" i="12" s="1"/>
  <c r="O347" i="12"/>
  <c r="P26" i="12"/>
  <c r="M16" i="12"/>
  <c r="K143" i="12"/>
  <c r="I131" i="12"/>
  <c r="K131" i="12" s="1"/>
  <c r="M20" i="12"/>
  <c r="M28" i="12"/>
  <c r="P28" i="12" s="1"/>
  <c r="K288" i="5"/>
  <c r="L629" i="9"/>
  <c r="O629" i="9" s="1"/>
  <c r="L21" i="10"/>
  <c r="L298" i="10"/>
  <c r="O298" i="10" s="1"/>
  <c r="L30" i="10"/>
  <c r="O30" i="10" s="1"/>
  <c r="P330" i="10"/>
  <c r="P391" i="10"/>
  <c r="L655" i="11"/>
  <c r="O655" i="11" s="1"/>
  <c r="P90" i="11"/>
  <c r="L16" i="11"/>
  <c r="O16" i="11" s="1"/>
  <c r="L328" i="10"/>
  <c r="O328" i="10" s="1"/>
  <c r="P55" i="11"/>
  <c r="N11" i="11"/>
  <c r="K785" i="10"/>
  <c r="P331" i="11"/>
  <c r="O446" i="11"/>
  <c r="M88" i="11"/>
  <c r="M315" i="11"/>
  <c r="P315" i="11" s="1"/>
  <c r="P317" i="11"/>
  <c r="O33" i="11"/>
  <c r="L30" i="11"/>
  <c r="O30" i="11" s="1"/>
  <c r="L31" i="11"/>
  <c r="O31" i="11" s="1"/>
  <c r="P43" i="11"/>
  <c r="L402" i="11"/>
  <c r="O402" i="11" s="1"/>
  <c r="M389" i="11"/>
  <c r="P389" i="11" s="1"/>
  <c r="O788" i="11"/>
  <c r="L786" i="11"/>
  <c r="O786" i="11" s="1"/>
  <c r="L20" i="11"/>
  <c r="L18" i="11" s="1"/>
  <c r="L13" i="11"/>
  <c r="P68" i="11"/>
  <c r="M66" i="11"/>
  <c r="P66" i="11" s="1"/>
  <c r="O90" i="11"/>
  <c r="N88" i="11"/>
  <c r="O88" i="11" s="1"/>
  <c r="L34" i="10"/>
  <c r="O34" i="10" s="1"/>
  <c r="O167" i="11"/>
  <c r="L629" i="11"/>
  <c r="O629" i="11" s="1"/>
  <c r="P121" i="7"/>
  <c r="K131" i="11"/>
  <c r="O351" i="11"/>
  <c r="O348" i="5"/>
  <c r="O121" i="7"/>
  <c r="P44" i="10"/>
  <c r="P348" i="10"/>
  <c r="P263" i="11"/>
  <c r="N261" i="11"/>
  <c r="P261" i="11" s="1"/>
  <c r="K143" i="11"/>
  <c r="M24" i="11"/>
  <c r="P330" i="11"/>
  <c r="P279" i="8"/>
  <c r="P59" i="8"/>
  <c r="O279" i="8"/>
  <c r="P68" i="8"/>
  <c r="M53" i="9"/>
  <c r="P53" i="9" s="1"/>
  <c r="O55" i="9"/>
  <c r="O90" i="9"/>
  <c r="L132" i="10"/>
  <c r="O132" i="10" s="1"/>
  <c r="O687" i="11"/>
  <c r="L685" i="11"/>
  <c r="O685" i="11" s="1"/>
  <c r="O546" i="11"/>
  <c r="L544" i="11"/>
  <c r="O544" i="11" s="1"/>
  <c r="M414" i="11"/>
  <c r="P414" i="11" s="1"/>
  <c r="P419" i="11"/>
  <c r="L389" i="11"/>
  <c r="O389" i="11" s="1"/>
  <c r="O391" i="11"/>
  <c r="I65" i="11"/>
  <c r="K65" i="11" s="1"/>
  <c r="K77" i="11"/>
  <c r="N181" i="11"/>
  <c r="P183" i="11"/>
  <c r="O469" i="11"/>
  <c r="L467" i="11"/>
  <c r="O467" i="11" s="1"/>
  <c r="N298" i="11"/>
  <c r="P300" i="11"/>
  <c r="O29" i="11"/>
  <c r="N149" i="11"/>
  <c r="P151" i="11"/>
  <c r="P15" i="11"/>
  <c r="M14" i="11"/>
  <c r="P14" i="11" s="1"/>
  <c r="N414" i="11"/>
  <c r="P279" i="11"/>
  <c r="M277" i="11"/>
  <c r="M402" i="11"/>
  <c r="P402" i="11" s="1"/>
  <c r="P404" i="11"/>
  <c r="O91" i="11"/>
  <c r="O43" i="4"/>
  <c r="P264" i="7"/>
  <c r="I64" i="8"/>
  <c r="K64" i="8" s="1"/>
  <c r="K364" i="9"/>
  <c r="P151" i="10"/>
  <c r="K76" i="10"/>
  <c r="P183" i="10"/>
  <c r="L31" i="10"/>
  <c r="O31" i="10" s="1"/>
  <c r="P90" i="10"/>
  <c r="J592" i="11"/>
  <c r="K592" i="11" s="1"/>
  <c r="K593" i="11"/>
  <c r="O444" i="11"/>
  <c r="O151" i="11"/>
  <c r="L149" i="11"/>
  <c r="O15" i="11"/>
  <c r="O317" i="11"/>
  <c r="L315" i="11"/>
  <c r="O315" i="11" s="1"/>
  <c r="J275" i="11"/>
  <c r="K275" i="11" s="1"/>
  <c r="K288" i="11"/>
  <c r="M9" i="11"/>
  <c r="K364" i="8"/>
  <c r="N24" i="10"/>
  <c r="O24" i="10" s="1"/>
  <c r="O263" i="11"/>
  <c r="L261" i="11"/>
  <c r="P134" i="11"/>
  <c r="M132" i="11"/>
  <c r="O9" i="11"/>
  <c r="O121" i="11"/>
  <c r="L119" i="11"/>
  <c r="O119" i="11" s="1"/>
  <c r="P29" i="11"/>
  <c r="M28" i="11"/>
  <c r="P28" i="11" s="1"/>
  <c r="K275" i="6"/>
  <c r="O165" i="8"/>
  <c r="I226" i="9"/>
  <c r="K226" i="9" s="1"/>
  <c r="P43" i="9"/>
  <c r="L544" i="10"/>
  <c r="O544" i="10" s="1"/>
  <c r="M298" i="10"/>
  <c r="P298" i="10" s="1"/>
  <c r="L629" i="10"/>
  <c r="O629" i="10" s="1"/>
  <c r="O631" i="10"/>
  <c r="P88" i="10"/>
  <c r="M149" i="10"/>
  <c r="P149" i="10" s="1"/>
  <c r="O183" i="10"/>
  <c r="P90" i="3"/>
  <c r="K417" i="3"/>
  <c r="P134" i="6"/>
  <c r="O23" i="10"/>
  <c r="P184" i="10"/>
  <c r="M53" i="10"/>
  <c r="P53" i="10" s="1"/>
  <c r="N165" i="10"/>
  <c r="P165" i="10" s="1"/>
  <c r="N88" i="9"/>
  <c r="O88" i="9" s="1"/>
  <c r="K174" i="10"/>
  <c r="I164" i="10"/>
  <c r="K164" i="10" s="1"/>
  <c r="P183" i="7"/>
  <c r="P263" i="9"/>
  <c r="M119" i="10"/>
  <c r="P119" i="10" s="1"/>
  <c r="O331" i="10"/>
  <c r="O167" i="10"/>
  <c r="O421" i="10"/>
  <c r="L419" i="10"/>
  <c r="O419" i="10" s="1"/>
  <c r="O43" i="10"/>
  <c r="N41" i="10"/>
  <c r="O41" i="10" s="1"/>
  <c r="P43" i="10"/>
  <c r="L444" i="10"/>
  <c r="O444" i="10" s="1"/>
  <c r="O446" i="10"/>
  <c r="O263" i="10"/>
  <c r="O167" i="8"/>
  <c r="O68" i="10"/>
  <c r="N66" i="10"/>
  <c r="O66" i="10" s="1"/>
  <c r="L345" i="10"/>
  <c r="O345" i="10" s="1"/>
  <c r="P151" i="8"/>
  <c r="L315" i="9"/>
  <c r="O315" i="9" s="1"/>
  <c r="P263" i="10"/>
  <c r="K275" i="7"/>
  <c r="P261" i="10"/>
  <c r="O261" i="10"/>
  <c r="O391" i="10"/>
  <c r="L389" i="10"/>
  <c r="O389" i="10" s="1"/>
  <c r="P181" i="10"/>
  <c r="P68" i="10"/>
  <c r="I226" i="10"/>
  <c r="K237" i="10"/>
  <c r="P15" i="10"/>
  <c r="P23" i="10"/>
  <c r="M20" i="10"/>
  <c r="M13" i="10"/>
  <c r="M21" i="10"/>
  <c r="K143" i="10"/>
  <c r="I131" i="10"/>
  <c r="K131" i="10" s="1"/>
  <c r="O317" i="10"/>
  <c r="L315" i="10"/>
  <c r="O315" i="10" s="1"/>
  <c r="K143" i="6"/>
  <c r="P263" i="6"/>
  <c r="L544" i="7"/>
  <c r="O544" i="7" s="1"/>
  <c r="K364" i="7"/>
  <c r="O88" i="7"/>
  <c r="L119" i="8"/>
  <c r="O119" i="8" s="1"/>
  <c r="N66" i="8"/>
  <c r="P66" i="8" s="1"/>
  <c r="P168" i="8"/>
  <c r="K434" i="9"/>
  <c r="L467" i="10"/>
  <c r="O469" i="10"/>
  <c r="K77" i="10"/>
  <c r="I65" i="10"/>
  <c r="K65" i="10" s="1"/>
  <c r="M9" i="10"/>
  <c r="P168" i="10"/>
  <c r="J417" i="10"/>
  <c r="K417" i="10" s="1"/>
  <c r="K433" i="10"/>
  <c r="O90" i="10"/>
  <c r="L88" i="10"/>
  <c r="O9" i="10"/>
  <c r="I65" i="8"/>
  <c r="K65" i="8" s="1"/>
  <c r="M389" i="9"/>
  <c r="P389" i="9" s="1"/>
  <c r="O167" i="9"/>
  <c r="P545" i="10"/>
  <c r="M544" i="10"/>
  <c r="O238" i="10"/>
  <c r="L227" i="10"/>
  <c r="P88" i="5"/>
  <c r="P167" i="9"/>
  <c r="L523" i="10"/>
  <c r="O523" i="10" s="1"/>
  <c r="P280" i="10"/>
  <c r="O280" i="10"/>
  <c r="M16" i="10"/>
  <c r="P16" i="10" s="1"/>
  <c r="M24" i="10"/>
  <c r="P26" i="10"/>
  <c r="L16" i="10"/>
  <c r="O26" i="10"/>
  <c r="L20" i="10"/>
  <c r="L18" i="10" s="1"/>
  <c r="P90" i="5"/>
  <c r="L786" i="9"/>
  <c r="O786" i="9" s="1"/>
  <c r="M66" i="9"/>
  <c r="P66" i="9" s="1"/>
  <c r="K434" i="10"/>
  <c r="I418" i="10"/>
  <c r="K418" i="10" s="1"/>
  <c r="O687" i="10"/>
  <c r="L685" i="10"/>
  <c r="O685" i="10" s="1"/>
  <c r="P29" i="10"/>
  <c r="M28" i="10"/>
  <c r="P28" i="10" s="1"/>
  <c r="O19" i="10"/>
  <c r="O91" i="10"/>
  <c r="N21" i="10"/>
  <c r="M261" i="9"/>
  <c r="P261" i="9" s="1"/>
  <c r="N20" i="10"/>
  <c r="N18" i="10" s="1"/>
  <c r="N13" i="10"/>
  <c r="O328" i="5"/>
  <c r="O330" i="5"/>
  <c r="L389" i="6"/>
  <c r="O389" i="6" s="1"/>
  <c r="O134" i="8"/>
  <c r="N21" i="8"/>
  <c r="M165" i="9"/>
  <c r="P165" i="9" s="1"/>
  <c r="O184" i="9"/>
  <c r="O348" i="9"/>
  <c r="M41" i="9"/>
  <c r="P41" i="9" s="1"/>
  <c r="P345" i="5"/>
  <c r="N277" i="7"/>
  <c r="O277" i="7" s="1"/>
  <c r="O90" i="5"/>
  <c r="P151" i="9"/>
  <c r="L181" i="9"/>
  <c r="O181" i="9" s="1"/>
  <c r="K76" i="9"/>
  <c r="O347" i="5"/>
  <c r="K364" i="5"/>
  <c r="O134" i="5"/>
  <c r="P138" i="6"/>
  <c r="O43" i="6"/>
  <c r="K143" i="7"/>
  <c r="O90" i="8"/>
  <c r="M328" i="9"/>
  <c r="P328" i="9" s="1"/>
  <c r="P121" i="9"/>
  <c r="M119" i="9"/>
  <c r="P119" i="9" s="1"/>
  <c r="L786" i="5"/>
  <c r="O786" i="5" s="1"/>
  <c r="L629" i="5"/>
  <c r="O629" i="5" s="1"/>
  <c r="P261" i="7"/>
  <c r="P298" i="8"/>
  <c r="M16" i="8"/>
  <c r="P16" i="8" s="1"/>
  <c r="L30" i="8"/>
  <c r="O30" i="8" s="1"/>
  <c r="O277" i="8"/>
  <c r="O469" i="9"/>
  <c r="M402" i="9"/>
  <c r="P402" i="9" s="1"/>
  <c r="P264" i="9"/>
  <c r="M277" i="9"/>
  <c r="P277" i="9" s="1"/>
  <c r="P279" i="9"/>
  <c r="O36" i="9"/>
  <c r="L34" i="9"/>
  <c r="O34" i="9" s="1"/>
  <c r="O90" i="3"/>
  <c r="K785" i="4"/>
  <c r="M16" i="5"/>
  <c r="P16" i="5" s="1"/>
  <c r="P330" i="6"/>
  <c r="K76" i="7"/>
  <c r="P165" i="7"/>
  <c r="O263" i="7"/>
  <c r="O345" i="7"/>
  <c r="L402" i="9"/>
  <c r="O402" i="9" s="1"/>
  <c r="N165" i="3"/>
  <c r="P165" i="3" s="1"/>
  <c r="P26" i="5"/>
  <c r="O165" i="5"/>
  <c r="K131" i="6"/>
  <c r="O43" i="7"/>
  <c r="P181" i="8"/>
  <c r="P300" i="9"/>
  <c r="M298" i="9"/>
  <c r="P298" i="9" s="1"/>
  <c r="O279" i="9"/>
  <c r="L277" i="9"/>
  <c r="O277" i="9" s="1"/>
  <c r="O263" i="9"/>
  <c r="L261" i="9"/>
  <c r="O261" i="9" s="1"/>
  <c r="L444" i="7"/>
  <c r="O444" i="7" s="1"/>
  <c r="O167" i="3"/>
  <c r="P279" i="4"/>
  <c r="O69" i="7"/>
  <c r="L629" i="8"/>
  <c r="O629" i="8" s="1"/>
  <c r="O55" i="8"/>
  <c r="M315" i="9"/>
  <c r="P315" i="9" s="1"/>
  <c r="P328" i="8"/>
  <c r="O300" i="9"/>
  <c r="L298" i="9"/>
  <c r="O298" i="9" s="1"/>
  <c r="O151" i="9"/>
  <c r="L149" i="9"/>
  <c r="O149" i="9" s="1"/>
  <c r="O121" i="9"/>
  <c r="L119" i="9"/>
  <c r="O119" i="9" s="1"/>
  <c r="P23" i="9"/>
  <c r="M20" i="9"/>
  <c r="M13" i="9"/>
  <c r="M11" i="9" s="1"/>
  <c r="N24" i="5"/>
  <c r="P24" i="5" s="1"/>
  <c r="O151" i="5"/>
  <c r="K131" i="7"/>
  <c r="O68" i="8"/>
  <c r="P330" i="8"/>
  <c r="P347" i="9"/>
  <c r="M345" i="9"/>
  <c r="P345" i="9" s="1"/>
  <c r="P19" i="9"/>
  <c r="O26" i="9"/>
  <c r="L16" i="9"/>
  <c r="P151" i="5"/>
  <c r="O347" i="6"/>
  <c r="P68" i="7"/>
  <c r="O298" i="8"/>
  <c r="K77" i="9"/>
  <c r="I65" i="9"/>
  <c r="K65" i="9" s="1"/>
  <c r="L165" i="9"/>
  <c r="O165" i="9" s="1"/>
  <c r="L9" i="9"/>
  <c r="O12" i="9"/>
  <c r="O421" i="9"/>
  <c r="L419" i="9"/>
  <c r="O23" i="9"/>
  <c r="L20" i="9"/>
  <c r="L13" i="9"/>
  <c r="L11" i="9" s="1"/>
  <c r="L21" i="9"/>
  <c r="P12" i="9"/>
  <c r="M9" i="9"/>
  <c r="O149" i="5"/>
  <c r="O68" i="6"/>
  <c r="L786" i="7"/>
  <c r="O786" i="7" s="1"/>
  <c r="M414" i="9"/>
  <c r="P414" i="9" s="1"/>
  <c r="M24" i="9"/>
  <c r="P26" i="9"/>
  <c r="M16" i="9"/>
  <c r="O347" i="9"/>
  <c r="L345" i="9"/>
  <c r="O345" i="9" s="1"/>
  <c r="O19" i="9"/>
  <c r="N20" i="9"/>
  <c r="N18" i="9" s="1"/>
  <c r="N13" i="9"/>
  <c r="N149" i="9"/>
  <c r="P149" i="9" s="1"/>
  <c r="O33" i="9"/>
  <c r="L30" i="9"/>
  <c r="O53" i="9"/>
  <c r="L227" i="9"/>
  <c r="P347" i="6"/>
  <c r="L88" i="8"/>
  <c r="O88" i="8" s="1"/>
  <c r="K433" i="8"/>
  <c r="K433" i="9"/>
  <c r="I417" i="9"/>
  <c r="K417" i="9" s="1"/>
  <c r="P90" i="9"/>
  <c r="M88" i="9"/>
  <c r="L24" i="9"/>
  <c r="N21" i="9"/>
  <c r="O300" i="2"/>
  <c r="O33" i="7"/>
  <c r="P345" i="7"/>
  <c r="P183" i="8"/>
  <c r="O687" i="9"/>
  <c r="L685" i="9"/>
  <c r="O685" i="9" s="1"/>
  <c r="P183" i="9"/>
  <c r="M181" i="9"/>
  <c r="P181" i="9" s="1"/>
  <c r="O330" i="9"/>
  <c r="L328" i="9"/>
  <c r="O328" i="9" s="1"/>
  <c r="M21" i="9"/>
  <c r="N655" i="9"/>
  <c r="N414" i="9" s="1"/>
  <c r="O134" i="9"/>
  <c r="L132" i="9"/>
  <c r="O132" i="9" s="1"/>
  <c r="N24" i="9"/>
  <c r="N16" i="9"/>
  <c r="N14" i="9" s="1"/>
  <c r="O446" i="9"/>
  <c r="L444" i="9"/>
  <c r="O444" i="9" s="1"/>
  <c r="K559" i="5"/>
  <c r="P68" i="5"/>
  <c r="P135" i="6"/>
  <c r="O132" i="7"/>
  <c r="O300" i="8"/>
  <c r="O151" i="8"/>
  <c r="P149" i="8"/>
  <c r="O149" i="8"/>
  <c r="O181" i="8"/>
  <c r="O657" i="8"/>
  <c r="L655" i="8"/>
  <c r="O655" i="8" s="1"/>
  <c r="P351" i="8"/>
  <c r="M389" i="6"/>
  <c r="P389" i="6" s="1"/>
  <c r="L30" i="7"/>
  <c r="O30" i="7" s="1"/>
  <c r="L261" i="7"/>
  <c r="O261" i="7" s="1"/>
  <c r="O59" i="8"/>
  <c r="O330" i="8"/>
  <c r="L66" i="5"/>
  <c r="O66" i="5" s="1"/>
  <c r="M402" i="6"/>
  <c r="P402" i="6" s="1"/>
  <c r="P280" i="6"/>
  <c r="M298" i="7"/>
  <c r="P298" i="7" s="1"/>
  <c r="K433" i="7"/>
  <c r="P391" i="7"/>
  <c r="O347" i="8"/>
  <c r="O328" i="8"/>
  <c r="P90" i="8"/>
  <c r="M88" i="8"/>
  <c r="P88" i="8" s="1"/>
  <c r="P121" i="8"/>
  <c r="M119" i="8"/>
  <c r="P119" i="8" s="1"/>
  <c r="L34" i="8"/>
  <c r="O34" i="8" s="1"/>
  <c r="O36" i="8"/>
  <c r="P53" i="6"/>
  <c r="P279" i="6"/>
  <c r="L655" i="5"/>
  <c r="O655" i="5" s="1"/>
  <c r="L629" i="7"/>
  <c r="O629" i="7" s="1"/>
  <c r="O263" i="8"/>
  <c r="L31" i="8"/>
  <c r="O31" i="8" s="1"/>
  <c r="N345" i="8"/>
  <c r="O345" i="8" s="1"/>
  <c r="I164" i="8"/>
  <c r="K164" i="8" s="1"/>
  <c r="K174" i="8"/>
  <c r="L315" i="7"/>
  <c r="O315" i="7" s="1"/>
  <c r="L34" i="7"/>
  <c r="O34" i="7" s="1"/>
  <c r="M149" i="7"/>
  <c r="P149" i="7" s="1"/>
  <c r="M402" i="8"/>
  <c r="P402" i="8" s="1"/>
  <c r="N53" i="8"/>
  <c r="O183" i="8"/>
  <c r="P263" i="8"/>
  <c r="M261" i="8"/>
  <c r="P261" i="8" s="1"/>
  <c r="P330" i="3"/>
  <c r="L227" i="6"/>
  <c r="L629" i="6"/>
  <c r="O629" i="6" s="1"/>
  <c r="M389" i="8"/>
  <c r="P389" i="8" s="1"/>
  <c r="P134" i="8"/>
  <c r="M132" i="8"/>
  <c r="P132" i="8" s="1"/>
  <c r="K143" i="8"/>
  <c r="I131" i="8"/>
  <c r="K131" i="8" s="1"/>
  <c r="O467" i="8"/>
  <c r="O43" i="8"/>
  <c r="L41" i="8"/>
  <c r="O330" i="6"/>
  <c r="P69" i="7"/>
  <c r="O446" i="8"/>
  <c r="L444" i="8"/>
  <c r="O444" i="8" s="1"/>
  <c r="M277" i="8"/>
  <c r="P277" i="8" s="1"/>
  <c r="O26" i="8"/>
  <c r="L16" i="8"/>
  <c r="O16" i="8" s="1"/>
  <c r="M28" i="8"/>
  <c r="P28" i="8" s="1"/>
  <c r="P29" i="8"/>
  <c r="L227" i="8"/>
  <c r="O15" i="8"/>
  <c r="O469" i="8"/>
  <c r="O23" i="8"/>
  <c r="L20" i="8"/>
  <c r="L13" i="8"/>
  <c r="L21" i="8"/>
  <c r="L24" i="8"/>
  <c r="P502" i="8"/>
  <c r="M414" i="8"/>
  <c r="P414" i="8" s="1"/>
  <c r="L261" i="8"/>
  <c r="O261" i="8" s="1"/>
  <c r="L685" i="8"/>
  <c r="O685" i="8" s="1"/>
  <c r="L315" i="8"/>
  <c r="O315" i="8" s="1"/>
  <c r="L419" i="8"/>
  <c r="O421" i="8"/>
  <c r="P15" i="8"/>
  <c r="O9" i="8"/>
  <c r="P55" i="8"/>
  <c r="O19" i="8"/>
  <c r="M328" i="6"/>
  <c r="P328" i="6" s="1"/>
  <c r="O134" i="7"/>
  <c r="K434" i="8"/>
  <c r="I418" i="8"/>
  <c r="K418" i="8" s="1"/>
  <c r="K248" i="8"/>
  <c r="I226" i="8"/>
  <c r="M165" i="8"/>
  <c r="P165" i="8" s="1"/>
  <c r="P167" i="8"/>
  <c r="M9" i="8"/>
  <c r="P300" i="8"/>
  <c r="N9" i="8"/>
  <c r="N11" i="8"/>
  <c r="N24" i="8"/>
  <c r="P24" i="8" s="1"/>
  <c r="N10" i="8"/>
  <c r="P347" i="5"/>
  <c r="P56" i="7"/>
  <c r="P545" i="8"/>
  <c r="M544" i="8"/>
  <c r="P544" i="8" s="1"/>
  <c r="O29" i="8"/>
  <c r="P41" i="8"/>
  <c r="N20" i="8"/>
  <c r="N18" i="8" s="1"/>
  <c r="P26" i="8"/>
  <c r="O263" i="3"/>
  <c r="P183" i="5"/>
  <c r="L298" i="7"/>
  <c r="O298" i="7" s="1"/>
  <c r="P263" i="7"/>
  <c r="L523" i="8"/>
  <c r="O523" i="8" s="1"/>
  <c r="L544" i="8"/>
  <c r="O544" i="8" s="1"/>
  <c r="O391" i="8"/>
  <c r="L389" i="8"/>
  <c r="O389" i="8" s="1"/>
  <c r="P56" i="8"/>
  <c r="O56" i="8"/>
  <c r="M21" i="8"/>
  <c r="M13" i="8"/>
  <c r="P23" i="8"/>
  <c r="M20" i="8"/>
  <c r="O181" i="5"/>
  <c r="O404" i="4"/>
  <c r="P149" i="6"/>
  <c r="L34" i="6"/>
  <c r="O34" i="6" s="1"/>
  <c r="L444" i="6"/>
  <c r="O444" i="6" s="1"/>
  <c r="P90" i="6"/>
  <c r="P90" i="7"/>
  <c r="P66" i="7"/>
  <c r="L419" i="7"/>
  <c r="O419" i="7" s="1"/>
  <c r="O66" i="7"/>
  <c r="P347" i="7"/>
  <c r="L41" i="6"/>
  <c r="O41" i="6" s="1"/>
  <c r="N277" i="4"/>
  <c r="P277" i="4" s="1"/>
  <c r="P183" i="6"/>
  <c r="P300" i="6"/>
  <c r="P91" i="6"/>
  <c r="P167" i="7"/>
  <c r="L227" i="7"/>
  <c r="O183" i="5"/>
  <c r="O90" i="7"/>
  <c r="O44" i="7"/>
  <c r="P134" i="7"/>
  <c r="L389" i="7"/>
  <c r="O389" i="7" s="1"/>
  <c r="O59" i="5"/>
  <c r="O249" i="6"/>
  <c r="O404" i="7"/>
  <c r="L402" i="7"/>
  <c r="O402" i="7" s="1"/>
  <c r="O68" i="7"/>
  <c r="O347" i="7"/>
  <c r="P151" i="6"/>
  <c r="O657" i="7"/>
  <c r="L655" i="7"/>
  <c r="O655" i="7" s="1"/>
  <c r="P317" i="7"/>
  <c r="M315" i="7"/>
  <c r="P315" i="7" s="1"/>
  <c r="O317" i="6"/>
  <c r="O263" i="6"/>
  <c r="N21" i="7"/>
  <c r="O21" i="7" s="1"/>
  <c r="L467" i="7"/>
  <c r="O467" i="7" s="1"/>
  <c r="O469" i="7"/>
  <c r="L328" i="7"/>
  <c r="O328" i="7" s="1"/>
  <c r="O330" i="7"/>
  <c r="M132" i="7"/>
  <c r="P132" i="7" s="1"/>
  <c r="N181" i="7"/>
  <c r="P181" i="7" s="1"/>
  <c r="P330" i="7"/>
  <c r="M328" i="7"/>
  <c r="P328" i="7" s="1"/>
  <c r="I65" i="7"/>
  <c r="K65" i="7" s="1"/>
  <c r="K77" i="7"/>
  <c r="O90" i="4"/>
  <c r="P328" i="5"/>
  <c r="O167" i="5"/>
  <c r="P330" i="5"/>
  <c r="P279" i="5"/>
  <c r="K785" i="6"/>
  <c r="P545" i="7"/>
  <c r="M544" i="7"/>
  <c r="P544" i="7" s="1"/>
  <c r="M88" i="7"/>
  <c r="P88" i="7" s="1"/>
  <c r="O12" i="7"/>
  <c r="L9" i="7"/>
  <c r="O53" i="7"/>
  <c r="N9" i="7"/>
  <c r="N11" i="7"/>
  <c r="N16" i="7"/>
  <c r="N24" i="7"/>
  <c r="P24" i="7" s="1"/>
  <c r="N20" i="7"/>
  <c r="N18" i="7" s="1"/>
  <c r="P138" i="7"/>
  <c r="P43" i="7"/>
  <c r="M41" i="7"/>
  <c r="O19" i="7"/>
  <c r="P300" i="3"/>
  <c r="O315" i="2"/>
  <c r="M119" i="6"/>
  <c r="P119" i="6" s="1"/>
  <c r="O687" i="7"/>
  <c r="L685" i="7"/>
  <c r="O685" i="7" s="1"/>
  <c r="P53" i="7"/>
  <c r="K174" i="7"/>
  <c r="I164" i="7"/>
  <c r="K164" i="7" s="1"/>
  <c r="L119" i="7"/>
  <c r="O119" i="7" s="1"/>
  <c r="L16" i="7"/>
  <c r="L24" i="7"/>
  <c r="O26" i="7"/>
  <c r="O59" i="4"/>
  <c r="P317" i="2"/>
  <c r="K417" i="6"/>
  <c r="L181" i="7"/>
  <c r="O183" i="7"/>
  <c r="L41" i="7"/>
  <c r="P9" i="7"/>
  <c r="P279" i="7"/>
  <c r="O55" i="7"/>
  <c r="P15" i="7"/>
  <c r="L149" i="7"/>
  <c r="O149" i="7" s="1"/>
  <c r="P55" i="7"/>
  <c r="M16" i="7"/>
  <c r="M14" i="7" s="1"/>
  <c r="P26" i="7"/>
  <c r="K434" i="7"/>
  <c r="I418" i="7"/>
  <c r="K418" i="7" s="1"/>
  <c r="M119" i="7"/>
  <c r="P119" i="7" s="1"/>
  <c r="O167" i="7"/>
  <c r="L165" i="7"/>
  <c r="O165" i="7" s="1"/>
  <c r="P23" i="7"/>
  <c r="M20" i="7"/>
  <c r="M13" i="7"/>
  <c r="M21" i="7"/>
  <c r="I226" i="7"/>
  <c r="O181" i="2"/>
  <c r="O55" i="6"/>
  <c r="P264" i="6"/>
  <c r="O547" i="7"/>
  <c r="L523" i="7"/>
  <c r="P467" i="7"/>
  <c r="M414" i="7"/>
  <c r="P414" i="7" s="1"/>
  <c r="P29" i="7"/>
  <c r="M28" i="7"/>
  <c r="P28" i="7" s="1"/>
  <c r="M402" i="7"/>
  <c r="P402" i="7" s="1"/>
  <c r="O23" i="7"/>
  <c r="L20" i="7"/>
  <c r="L18" i="7" s="1"/>
  <c r="L13" i="7"/>
  <c r="L11" i="7" s="1"/>
  <c r="M315" i="2"/>
  <c r="P315" i="2" s="1"/>
  <c r="O317" i="2"/>
  <c r="K434" i="4"/>
  <c r="O44" i="4"/>
  <c r="P263" i="4"/>
  <c r="M181" i="5"/>
  <c r="P181" i="5" s="1"/>
  <c r="P55" i="5"/>
  <c r="L227" i="5"/>
  <c r="N277" i="5"/>
  <c r="P277" i="5" s="1"/>
  <c r="O132" i="6"/>
  <c r="P69" i="6"/>
  <c r="L345" i="6"/>
  <c r="O345" i="6" s="1"/>
  <c r="P317" i="6"/>
  <c r="L149" i="4"/>
  <c r="O149" i="4" s="1"/>
  <c r="L34" i="4"/>
  <c r="O34" i="4" s="1"/>
  <c r="O263" i="4"/>
  <c r="O300" i="5"/>
  <c r="P23" i="5"/>
  <c r="P55" i="6"/>
  <c r="O279" i="6"/>
  <c r="N24" i="6"/>
  <c r="O24" i="6" s="1"/>
  <c r="K433" i="6"/>
  <c r="O134" i="6"/>
  <c r="M21" i="5"/>
  <c r="N181" i="6"/>
  <c r="P181" i="6" s="1"/>
  <c r="O525" i="6"/>
  <c r="O788" i="6"/>
  <c r="L786" i="6"/>
  <c r="O786" i="6" s="1"/>
  <c r="O55" i="5"/>
  <c r="M20" i="5"/>
  <c r="M18" i="5" s="1"/>
  <c r="L261" i="6"/>
  <c r="O261" i="6" s="1"/>
  <c r="P391" i="5"/>
  <c r="L119" i="6"/>
  <c r="O119" i="6" s="1"/>
  <c r="O404" i="6"/>
  <c r="L402" i="6"/>
  <c r="O402" i="6" s="1"/>
  <c r="M261" i="4"/>
  <c r="P261" i="4" s="1"/>
  <c r="P151" i="4"/>
  <c r="L119" i="5"/>
  <c r="O119" i="5" s="1"/>
  <c r="O261" i="5"/>
  <c r="L328" i="6"/>
  <c r="O328" i="6" s="1"/>
  <c r="P301" i="6"/>
  <c r="L31" i="6"/>
  <c r="L30" i="6"/>
  <c r="L28" i="6" s="1"/>
  <c r="P149" i="4"/>
  <c r="P167" i="5"/>
  <c r="L53" i="6"/>
  <c r="O53" i="6" s="1"/>
  <c r="L30" i="5"/>
  <c r="O30" i="5" s="1"/>
  <c r="L34" i="5"/>
  <c r="O34" i="5" s="1"/>
  <c r="M88" i="6"/>
  <c r="P88" i="6" s="1"/>
  <c r="M66" i="4"/>
  <c r="P66" i="4" s="1"/>
  <c r="P44" i="4"/>
  <c r="L389" i="5"/>
  <c r="O389" i="5" s="1"/>
  <c r="O263" i="5"/>
  <c r="K434" i="6"/>
  <c r="I418" i="6"/>
  <c r="K418" i="6" s="1"/>
  <c r="M345" i="6"/>
  <c r="P345" i="6" s="1"/>
  <c r="M277" i="6"/>
  <c r="P277" i="6" s="1"/>
  <c r="L16" i="6"/>
  <c r="O16" i="6" s="1"/>
  <c r="O26" i="6"/>
  <c r="P545" i="6"/>
  <c r="M544" i="6"/>
  <c r="P544" i="6" s="1"/>
  <c r="L467" i="6"/>
  <c r="N20" i="6"/>
  <c r="N18" i="6" s="1"/>
  <c r="O90" i="6"/>
  <c r="L88" i="6"/>
  <c r="O21" i="6"/>
  <c r="O277" i="6"/>
  <c r="O183" i="6"/>
  <c r="L181" i="6"/>
  <c r="L20" i="6"/>
  <c r="O23" i="6"/>
  <c r="L13" i="6"/>
  <c r="P167" i="6"/>
  <c r="N165" i="6"/>
  <c r="P165" i="6" s="1"/>
  <c r="M261" i="6"/>
  <c r="P261" i="6" s="1"/>
  <c r="O300" i="6"/>
  <c r="L298" i="6"/>
  <c r="O298" i="6" s="1"/>
  <c r="O151" i="6"/>
  <c r="L149" i="6"/>
  <c r="O149" i="6" s="1"/>
  <c r="P15" i="6"/>
  <c r="M9" i="6"/>
  <c r="O421" i="6"/>
  <c r="K77" i="6"/>
  <c r="I65" i="6"/>
  <c r="K65" i="6" s="1"/>
  <c r="O15" i="6"/>
  <c r="P68" i="6"/>
  <c r="M41" i="6"/>
  <c r="O687" i="6"/>
  <c r="L685" i="6"/>
  <c r="O685" i="6" s="1"/>
  <c r="N470" i="6"/>
  <c r="O470" i="6" s="1"/>
  <c r="O472" i="6"/>
  <c r="N469" i="6"/>
  <c r="N467" i="6" s="1"/>
  <c r="N33" i="6"/>
  <c r="N414" i="6"/>
  <c r="O419" i="6"/>
  <c r="M298" i="6"/>
  <c r="P298" i="6" s="1"/>
  <c r="K174" i="6"/>
  <c r="I164" i="6"/>
  <c r="K164" i="6" s="1"/>
  <c r="P168" i="6"/>
  <c r="O168" i="6"/>
  <c r="N66" i="6"/>
  <c r="O66" i="6" s="1"/>
  <c r="P23" i="6"/>
  <c r="M21" i="6"/>
  <c r="P21" i="6" s="1"/>
  <c r="M13" i="6"/>
  <c r="M20" i="6"/>
  <c r="P29" i="6"/>
  <c r="M28" i="6"/>
  <c r="P28" i="6" s="1"/>
  <c r="J364" i="6"/>
  <c r="K364" i="6" s="1"/>
  <c r="K374" i="6"/>
  <c r="O167" i="6"/>
  <c r="K76" i="6"/>
  <c r="I64" i="6"/>
  <c r="K64" i="6" s="1"/>
  <c r="L9" i="6"/>
  <c r="M132" i="6"/>
  <c r="P132" i="6" s="1"/>
  <c r="N24" i="2"/>
  <c r="I226" i="6"/>
  <c r="K237" i="6"/>
  <c r="P467" i="6"/>
  <c r="M414" i="6"/>
  <c r="P414" i="6" s="1"/>
  <c r="P26" i="6"/>
  <c r="M16" i="6"/>
  <c r="P16" i="6" s="1"/>
  <c r="M24" i="6"/>
  <c r="O68" i="3"/>
  <c r="K364" i="4"/>
  <c r="M165" i="5"/>
  <c r="P165" i="5" s="1"/>
  <c r="M402" i="4"/>
  <c r="P402" i="4" s="1"/>
  <c r="O330" i="2"/>
  <c r="L53" i="5"/>
  <c r="O53" i="5" s="1"/>
  <c r="K77" i="2"/>
  <c r="O165" i="4"/>
  <c r="L419" i="5"/>
  <c r="O419" i="5" s="1"/>
  <c r="L315" i="5"/>
  <c r="O315" i="5" s="1"/>
  <c r="P263" i="5"/>
  <c r="L685" i="5"/>
  <c r="O685" i="5" s="1"/>
  <c r="M53" i="5"/>
  <c r="P53" i="5" s="1"/>
  <c r="I65" i="5"/>
  <c r="K65" i="5" s="1"/>
  <c r="K77" i="5"/>
  <c r="N132" i="5"/>
  <c r="O132" i="5" s="1"/>
  <c r="K417" i="5"/>
  <c r="O181" i="4"/>
  <c r="O330" i="4"/>
  <c r="K433" i="5"/>
  <c r="O55" i="4"/>
  <c r="P263" i="3"/>
  <c r="O33" i="5"/>
  <c r="L31" i="5"/>
  <c r="O31" i="5" s="1"/>
  <c r="L20" i="5"/>
  <c r="L18" i="5" s="1"/>
  <c r="L544" i="5"/>
  <c r="O544" i="5" s="1"/>
  <c r="O546" i="5"/>
  <c r="L21" i="5"/>
  <c r="M119" i="5"/>
  <c r="P119" i="5" s="1"/>
  <c r="N13" i="3"/>
  <c r="N10" i="3" s="1"/>
  <c r="P23" i="4"/>
  <c r="L13" i="5"/>
  <c r="L11" i="5" s="1"/>
  <c r="M261" i="5"/>
  <c r="P261" i="5" s="1"/>
  <c r="O525" i="5"/>
  <c r="L523" i="5"/>
  <c r="O523" i="5" s="1"/>
  <c r="O88" i="5"/>
  <c r="K76" i="5"/>
  <c r="I64" i="5"/>
  <c r="K64" i="5" s="1"/>
  <c r="O404" i="5"/>
  <c r="L402" i="5"/>
  <c r="O402" i="5" s="1"/>
  <c r="L16" i="5"/>
  <c r="O16" i="5" s="1"/>
  <c r="O26" i="5"/>
  <c r="P523" i="5"/>
  <c r="M414" i="5"/>
  <c r="P414" i="5" s="1"/>
  <c r="P404" i="5"/>
  <c r="M402" i="5"/>
  <c r="P402" i="5" s="1"/>
  <c r="I131" i="5"/>
  <c r="K131" i="5" s="1"/>
  <c r="K143" i="5"/>
  <c r="O15" i="5"/>
  <c r="O29" i="5"/>
  <c r="K237" i="5"/>
  <c r="I226" i="5"/>
  <c r="P168" i="5"/>
  <c r="O168" i="5"/>
  <c r="O277" i="2"/>
  <c r="N261" i="3"/>
  <c r="O261" i="3" s="1"/>
  <c r="O183" i="2"/>
  <c r="P301" i="5"/>
  <c r="O301" i="5"/>
  <c r="O43" i="5"/>
  <c r="N41" i="5"/>
  <c r="P41" i="5" s="1"/>
  <c r="P9" i="5"/>
  <c r="P43" i="5"/>
  <c r="P317" i="4"/>
  <c r="P29" i="5"/>
  <c r="M28" i="5"/>
  <c r="P28" i="5" s="1"/>
  <c r="M149" i="5"/>
  <c r="P149" i="5" s="1"/>
  <c r="P300" i="5"/>
  <c r="P181" i="2"/>
  <c r="L66" i="3"/>
  <c r="O66" i="3" s="1"/>
  <c r="P317" i="5"/>
  <c r="M315" i="5"/>
  <c r="P315" i="5" s="1"/>
  <c r="O23" i="5"/>
  <c r="N20" i="5"/>
  <c r="N13" i="5"/>
  <c r="P13" i="5" s="1"/>
  <c r="N21" i="5"/>
  <c r="P134" i="5"/>
  <c r="M132" i="5"/>
  <c r="P184" i="5"/>
  <c r="O184" i="5"/>
  <c r="M11" i="5"/>
  <c r="P391" i="4"/>
  <c r="L328" i="4"/>
  <c r="O328" i="4" s="1"/>
  <c r="O345" i="4"/>
  <c r="L345" i="5"/>
  <c r="O345" i="5" s="1"/>
  <c r="L444" i="5"/>
  <c r="O444" i="5" s="1"/>
  <c r="N298" i="5"/>
  <c r="O298" i="5" s="1"/>
  <c r="O12" i="5"/>
  <c r="L9" i="5"/>
  <c r="P183" i="2"/>
  <c r="O149" i="3"/>
  <c r="L53" i="4"/>
  <c r="O53" i="4" s="1"/>
  <c r="N24" i="4"/>
  <c r="O24" i="4" s="1"/>
  <c r="O469" i="5"/>
  <c r="L467" i="5"/>
  <c r="O467" i="5" s="1"/>
  <c r="L277" i="5"/>
  <c r="O279" i="5"/>
  <c r="K434" i="5"/>
  <c r="I418" i="5"/>
  <c r="K418" i="5" s="1"/>
  <c r="O19" i="5"/>
  <c r="K174" i="5"/>
  <c r="I164" i="5"/>
  <c r="K164" i="5" s="1"/>
  <c r="P15" i="5"/>
  <c r="P134" i="3"/>
  <c r="I226" i="4"/>
  <c r="K226" i="4" s="1"/>
  <c r="O183" i="4"/>
  <c r="L119" i="4"/>
  <c r="O119" i="4" s="1"/>
  <c r="L31" i="3"/>
  <c r="O31" i="3" s="1"/>
  <c r="O328" i="3"/>
  <c r="P264" i="3"/>
  <c r="I164" i="4"/>
  <c r="K164" i="4" s="1"/>
  <c r="P315" i="4"/>
  <c r="O347" i="3"/>
  <c r="P151" i="2"/>
  <c r="L30" i="3"/>
  <c r="O30" i="3" s="1"/>
  <c r="M277" i="3"/>
  <c r="P277" i="3" s="1"/>
  <c r="M402" i="3"/>
  <c r="P402" i="3" s="1"/>
  <c r="L389" i="4"/>
  <c r="O389" i="4" s="1"/>
  <c r="M13" i="4"/>
  <c r="M11" i="4" s="1"/>
  <c r="L30" i="4"/>
  <c r="O30" i="4" s="1"/>
  <c r="L389" i="2"/>
  <c r="O389" i="2" s="1"/>
  <c r="L298" i="2"/>
  <c r="O298" i="2" s="1"/>
  <c r="M132" i="3"/>
  <c r="L66" i="4"/>
  <c r="O66" i="4" s="1"/>
  <c r="M165" i="4"/>
  <c r="P165" i="4" s="1"/>
  <c r="P167" i="4"/>
  <c r="O134" i="4"/>
  <c r="L132" i="4"/>
  <c r="O132" i="4" s="1"/>
  <c r="L629" i="3"/>
  <c r="O629" i="3" s="1"/>
  <c r="L345" i="3"/>
  <c r="O345" i="3" s="1"/>
  <c r="K433" i="3"/>
  <c r="N20" i="3"/>
  <c r="N18" i="3" s="1"/>
  <c r="L227" i="3"/>
  <c r="N21" i="4"/>
  <c r="P21" i="4" s="1"/>
  <c r="P90" i="4"/>
  <c r="M181" i="4"/>
  <c r="P181" i="4" s="1"/>
  <c r="P183" i="4"/>
  <c r="O330" i="3"/>
  <c r="N24" i="3"/>
  <c r="P24" i="3" s="1"/>
  <c r="L544" i="4"/>
  <c r="O544" i="4" s="1"/>
  <c r="K288" i="4"/>
  <c r="J275" i="4"/>
  <c r="K275" i="4" s="1"/>
  <c r="O347" i="4"/>
  <c r="P151" i="3"/>
  <c r="O151" i="3"/>
  <c r="M132" i="4"/>
  <c r="P132" i="4" s="1"/>
  <c r="P134" i="4"/>
  <c r="L685" i="3"/>
  <c r="O685" i="3" s="1"/>
  <c r="L119" i="3"/>
  <c r="O119" i="3" s="1"/>
  <c r="O167" i="4"/>
  <c r="O21" i="3"/>
  <c r="O134" i="3"/>
  <c r="M119" i="3"/>
  <c r="P119" i="3" s="1"/>
  <c r="O183" i="3"/>
  <c r="O687" i="4"/>
  <c r="L685" i="4"/>
  <c r="O685" i="4" s="1"/>
  <c r="K143" i="4"/>
  <c r="I131" i="4"/>
  <c r="K131" i="4" s="1"/>
  <c r="N9" i="4"/>
  <c r="P300" i="4"/>
  <c r="M298" i="4"/>
  <c r="P91" i="4"/>
  <c r="O91" i="4"/>
  <c r="P26" i="4"/>
  <c r="M16" i="4"/>
  <c r="L41" i="4"/>
  <c r="O26" i="4"/>
  <c r="L16" i="4"/>
  <c r="O446" i="4"/>
  <c r="L444" i="4"/>
  <c r="O444" i="4" s="1"/>
  <c r="L315" i="4"/>
  <c r="O315" i="4" s="1"/>
  <c r="O317" i="4"/>
  <c r="I64" i="4"/>
  <c r="K64" i="4" s="1"/>
  <c r="K76" i="4"/>
  <c r="N31" i="4"/>
  <c r="P55" i="4"/>
  <c r="M53" i="4"/>
  <c r="P53" i="4" s="1"/>
  <c r="O23" i="4"/>
  <c r="L20" i="4"/>
  <c r="L18" i="4" s="1"/>
  <c r="L13" i="4"/>
  <c r="L11" i="4" s="1"/>
  <c r="L21" i="4"/>
  <c r="O279" i="4"/>
  <c r="L277" i="4"/>
  <c r="K143" i="2"/>
  <c r="L165" i="3"/>
  <c r="P69" i="3"/>
  <c r="M20" i="3"/>
  <c r="M18" i="3" s="1"/>
  <c r="O300" i="4"/>
  <c r="N298" i="4"/>
  <c r="O298" i="4" s="1"/>
  <c r="O525" i="4"/>
  <c r="L523" i="4"/>
  <c r="O523" i="4" s="1"/>
  <c r="O31" i="4"/>
  <c r="N20" i="4"/>
  <c r="N18" i="4" s="1"/>
  <c r="N13" i="4"/>
  <c r="N10" i="4" s="1"/>
  <c r="O12" i="4"/>
  <c r="L9" i="4"/>
  <c r="K559" i="4"/>
  <c r="I543" i="4"/>
  <c r="K543" i="4" s="1"/>
  <c r="O33" i="4"/>
  <c r="O469" i="3"/>
  <c r="M345" i="4"/>
  <c r="P345" i="4" s="1"/>
  <c r="P347" i="4"/>
  <c r="L419" i="4"/>
  <c r="L261" i="4"/>
  <c r="O261" i="4" s="1"/>
  <c r="K433" i="4"/>
  <c r="I417" i="4"/>
  <c r="K417" i="4" s="1"/>
  <c r="P19" i="4"/>
  <c r="P121" i="4"/>
  <c r="M119" i="4"/>
  <c r="P119" i="4" s="1"/>
  <c r="P444" i="4"/>
  <c r="M414" i="4"/>
  <c r="P414" i="4" s="1"/>
  <c r="P43" i="4"/>
  <c r="M41" i="4"/>
  <c r="M24" i="4"/>
  <c r="O238" i="4"/>
  <c r="L227" i="4"/>
  <c r="O19" i="4"/>
  <c r="N88" i="4"/>
  <c r="P88" i="4" s="1"/>
  <c r="O469" i="4"/>
  <c r="N467" i="4"/>
  <c r="O467" i="4" s="1"/>
  <c r="M66" i="2"/>
  <c r="P66" i="2" s="1"/>
  <c r="M402" i="2"/>
  <c r="P402" i="2" s="1"/>
  <c r="K364" i="2"/>
  <c r="L389" i="3"/>
  <c r="O389" i="3" s="1"/>
  <c r="O547" i="4"/>
  <c r="O631" i="4"/>
  <c r="L629" i="4"/>
  <c r="O629" i="4" s="1"/>
  <c r="M328" i="4"/>
  <c r="P328" i="4" s="1"/>
  <c r="P330" i="4"/>
  <c r="I65" i="4"/>
  <c r="K65" i="4" s="1"/>
  <c r="K77" i="4"/>
  <c r="P12" i="4"/>
  <c r="M9" i="4"/>
  <c r="M20" i="4"/>
  <c r="P345" i="3"/>
  <c r="P347" i="3"/>
  <c r="M13" i="3"/>
  <c r="M11" i="3" s="1"/>
  <c r="P330" i="2"/>
  <c r="O43" i="3"/>
  <c r="K76" i="3"/>
  <c r="O331" i="3"/>
  <c r="O404" i="3"/>
  <c r="L402" i="3"/>
  <c r="O402" i="3" s="1"/>
  <c r="P165" i="2"/>
  <c r="P167" i="2"/>
  <c r="O263" i="2"/>
  <c r="O165" i="2"/>
  <c r="O279" i="2"/>
  <c r="N181" i="3"/>
  <c r="O181" i="3" s="1"/>
  <c r="K174" i="3"/>
  <c r="I164" i="3"/>
  <c r="K164" i="3" s="1"/>
  <c r="M149" i="3"/>
  <c r="P149" i="3" s="1"/>
  <c r="P43" i="3"/>
  <c r="M41" i="3"/>
  <c r="P41" i="3" s="1"/>
  <c r="M24" i="2"/>
  <c r="N132" i="3"/>
  <c r="O132" i="3" s="1"/>
  <c r="P23" i="3"/>
  <c r="M21" i="3"/>
  <c r="P21" i="3" s="1"/>
  <c r="O167" i="2"/>
  <c r="K785" i="2"/>
  <c r="O264" i="3"/>
  <c r="L444" i="2"/>
  <c r="O444" i="2" s="1"/>
  <c r="O43" i="2"/>
  <c r="M389" i="3"/>
  <c r="P389" i="3" s="1"/>
  <c r="O544" i="3"/>
  <c r="L53" i="3"/>
  <c r="O53" i="3" s="1"/>
  <c r="P121" i="2"/>
  <c r="M119" i="2"/>
  <c r="P119" i="2" s="1"/>
  <c r="P183" i="3"/>
  <c r="M181" i="3"/>
  <c r="M66" i="3"/>
  <c r="P66" i="3" s="1"/>
  <c r="P68" i="3"/>
  <c r="M88" i="3"/>
  <c r="P88" i="3" s="1"/>
  <c r="L34" i="3"/>
  <c r="O34" i="3" s="1"/>
  <c r="O41" i="2"/>
  <c r="O419" i="3"/>
  <c r="M28" i="3"/>
  <c r="P28" i="3" s="1"/>
  <c r="P29" i="3"/>
  <c r="L328" i="2"/>
  <c r="O447" i="3"/>
  <c r="O546" i="3"/>
  <c r="O300" i="3"/>
  <c r="L298" i="3"/>
  <c r="K143" i="3"/>
  <c r="I131" i="3"/>
  <c r="K131" i="3" s="1"/>
  <c r="P135" i="3"/>
  <c r="O135" i="3"/>
  <c r="O12" i="3"/>
  <c r="L9" i="3"/>
  <c r="I226" i="3"/>
  <c r="P138" i="3"/>
  <c r="O138" i="3"/>
  <c r="O23" i="3"/>
  <c r="L20" i="3"/>
  <c r="L13" i="3"/>
  <c r="O26" i="3"/>
  <c r="L16" i="3"/>
  <c r="L24" i="3"/>
  <c r="P43" i="2"/>
  <c r="N328" i="2"/>
  <c r="P328" i="2" s="1"/>
  <c r="P55" i="2"/>
  <c r="P26" i="2"/>
  <c r="M315" i="3"/>
  <c r="P315" i="3" s="1"/>
  <c r="P317" i="3"/>
  <c r="O446" i="3"/>
  <c r="P15" i="3"/>
  <c r="L467" i="2"/>
  <c r="O467" i="2" s="1"/>
  <c r="O301" i="2"/>
  <c r="O546" i="2"/>
  <c r="L444" i="3"/>
  <c r="O421" i="3"/>
  <c r="O657" i="3"/>
  <c r="N655" i="3"/>
  <c r="O655" i="3" s="1"/>
  <c r="N9" i="3"/>
  <c r="P55" i="3"/>
  <c r="M53" i="3"/>
  <c r="O151" i="2"/>
  <c r="L149" i="2"/>
  <c r="O149" i="2" s="1"/>
  <c r="P53" i="2"/>
  <c r="M9" i="3"/>
  <c r="O301" i="3"/>
  <c r="P419" i="3"/>
  <c r="M414" i="3"/>
  <c r="P414" i="3" s="1"/>
  <c r="I65" i="3"/>
  <c r="K65" i="3" s="1"/>
  <c r="K77" i="3"/>
  <c r="P26" i="3"/>
  <c r="M16" i="3"/>
  <c r="P16" i="3" s="1"/>
  <c r="M328" i="3"/>
  <c r="P328" i="3" s="1"/>
  <c r="K434" i="3"/>
  <c r="I418" i="3"/>
  <c r="K418" i="3" s="1"/>
  <c r="L419" i="2"/>
  <c r="O55" i="2"/>
  <c r="O525" i="3"/>
  <c r="L523" i="3"/>
  <c r="O523" i="3" s="1"/>
  <c r="L315" i="3"/>
  <c r="O315" i="3" s="1"/>
  <c r="O19" i="3"/>
  <c r="N298" i="3"/>
  <c r="P298" i="3" s="1"/>
  <c r="L88" i="3"/>
  <c r="O88" i="3" s="1"/>
  <c r="L277" i="3"/>
  <c r="O277" i="3" s="1"/>
  <c r="L41" i="3"/>
  <c r="O345" i="2"/>
  <c r="O347" i="2"/>
  <c r="O331" i="2"/>
  <c r="P347" i="2"/>
  <c r="P300" i="2"/>
  <c r="P391" i="2"/>
  <c r="M389" i="2"/>
  <c r="P389" i="2" s="1"/>
  <c r="P90" i="2"/>
  <c r="M88" i="2"/>
  <c r="P88" i="2" s="1"/>
  <c r="N183" i="1"/>
  <c r="N181" i="1" s="1"/>
  <c r="O36" i="2"/>
  <c r="L34" i="2"/>
  <c r="O34" i="2" s="1"/>
  <c r="P184" i="2"/>
  <c r="P279" i="2"/>
  <c r="M277" i="2"/>
  <c r="P277" i="2" s="1"/>
  <c r="M345" i="2"/>
  <c r="P345" i="2" s="1"/>
  <c r="L523" i="2"/>
  <c r="O523" i="2" s="1"/>
  <c r="P41" i="2"/>
  <c r="O68" i="2"/>
  <c r="L66" i="2"/>
  <c r="O66" i="2" s="1"/>
  <c r="O121" i="2"/>
  <c r="L119" i="2"/>
  <c r="O119" i="2" s="1"/>
  <c r="O404" i="2"/>
  <c r="L402" i="2"/>
  <c r="O402" i="2" s="1"/>
  <c r="P16" i="2"/>
  <c r="N261" i="2"/>
  <c r="P263" i="2"/>
  <c r="O90" i="2"/>
  <c r="L88" i="2"/>
  <c r="O88" i="2" s="1"/>
  <c r="O15" i="2"/>
  <c r="O53" i="2"/>
  <c r="O23" i="2"/>
  <c r="L20" i="2"/>
  <c r="L13" i="2"/>
  <c r="L21" i="2"/>
  <c r="M21" i="2"/>
  <c r="M20" i="2"/>
  <c r="M13" i="2"/>
  <c r="P23" i="2"/>
  <c r="N629" i="2"/>
  <c r="O631" i="2"/>
  <c r="K288" i="2"/>
  <c r="M14" i="2"/>
  <c r="P14" i="2" s="1"/>
  <c r="P15" i="2"/>
  <c r="O26" i="2"/>
  <c r="L16" i="2"/>
  <c r="O16" i="2" s="1"/>
  <c r="O33" i="2"/>
  <c r="L30" i="2"/>
  <c r="O30" i="2" s="1"/>
  <c r="L31" i="2"/>
  <c r="O31" i="2" s="1"/>
  <c r="O249" i="2"/>
  <c r="L227" i="2"/>
  <c r="I418" i="2"/>
  <c r="K418" i="2" s="1"/>
  <c r="K434" i="2"/>
  <c r="P134" i="2"/>
  <c r="M132" i="2"/>
  <c r="P132" i="2" s="1"/>
  <c r="N13" i="2"/>
  <c r="N21" i="2"/>
  <c r="N20" i="2"/>
  <c r="N18" i="2" s="1"/>
  <c r="K76" i="2"/>
  <c r="I64" i="2"/>
  <c r="K64" i="2" s="1"/>
  <c r="K651" i="1"/>
  <c r="K433" i="2"/>
  <c r="J417" i="2"/>
  <c r="K417" i="2" s="1"/>
  <c r="O687" i="2"/>
  <c r="L685" i="2"/>
  <c r="O685" i="2" s="1"/>
  <c r="K237" i="2"/>
  <c r="I226" i="2"/>
  <c r="P44" i="2"/>
  <c r="O44" i="2"/>
  <c r="I164" i="2"/>
  <c r="K164" i="2" s="1"/>
  <c r="K174" i="2"/>
  <c r="L24" i="2"/>
  <c r="M414" i="2"/>
  <c r="P414" i="2" s="1"/>
  <c r="P419" i="2"/>
  <c r="M28" i="2"/>
  <c r="P28" i="2" s="1"/>
  <c r="P29" i="2"/>
  <c r="O29" i="2"/>
  <c r="P9" i="2"/>
  <c r="L132" i="2"/>
  <c r="O132" i="2" s="1"/>
  <c r="O9" i="2"/>
  <c r="K237" i="1"/>
  <c r="N300" i="1"/>
  <c r="N298" i="1" s="1"/>
  <c r="N230" i="1"/>
  <c r="J235" i="1"/>
  <c r="M330" i="1"/>
  <c r="M328" i="1" s="1"/>
  <c r="I364" i="1"/>
  <c r="K340" i="1"/>
  <c r="K378" i="1"/>
  <c r="K381" i="1"/>
  <c r="K700" i="1"/>
  <c r="K102" i="1"/>
  <c r="I226" i="1"/>
  <c r="I180" i="1" s="1"/>
  <c r="J785" i="1"/>
  <c r="K385" i="1"/>
  <c r="M391" i="1"/>
  <c r="P391" i="1" s="1"/>
  <c r="M279" i="1"/>
  <c r="M277" i="1" s="1"/>
  <c r="N528" i="1"/>
  <c r="O528" i="1" s="1"/>
  <c r="M134" i="1"/>
  <c r="K359" i="1"/>
  <c r="K362" i="1"/>
  <c r="K435" i="1"/>
  <c r="K672" i="1"/>
  <c r="K225" i="1"/>
  <c r="K223" i="1"/>
  <c r="L421" i="1"/>
  <c r="L419" i="1" s="1"/>
  <c r="K440" i="1"/>
  <c r="J596" i="1"/>
  <c r="L789" i="1"/>
  <c r="M300" i="1"/>
  <c r="I434" i="1"/>
  <c r="I418" i="1" s="1"/>
  <c r="I628" i="1"/>
  <c r="K628" i="1" s="1"/>
  <c r="I785" i="1"/>
  <c r="N134" i="1"/>
  <c r="N132" i="1" s="1"/>
  <c r="L171" i="1"/>
  <c r="O171" i="1" s="1"/>
  <c r="L187" i="1"/>
  <c r="O187" i="1" s="1"/>
  <c r="L228" i="1"/>
  <c r="M263" i="1"/>
  <c r="M261" i="1" s="1"/>
  <c r="K801" i="1"/>
  <c r="K823" i="1"/>
  <c r="K826" i="1"/>
  <c r="J77" i="1"/>
  <c r="J65" i="1" s="1"/>
  <c r="K146" i="1"/>
  <c r="K224" i="1"/>
  <c r="K257" i="1"/>
  <c r="N279" i="1"/>
  <c r="N277" i="1" s="1"/>
  <c r="K489" i="1"/>
  <c r="J729" i="1"/>
  <c r="K729" i="1" s="1"/>
  <c r="K80" i="1"/>
  <c r="K83" i="1"/>
  <c r="K103" i="1"/>
  <c r="K107" i="1"/>
  <c r="K130" i="1"/>
  <c r="L151" i="1"/>
  <c r="L149" i="1" s="1"/>
  <c r="J675" i="1"/>
  <c r="J669" i="1" s="1"/>
  <c r="J654" i="1" s="1"/>
  <c r="K654" i="1" s="1"/>
  <c r="P46" i="1"/>
  <c r="O320" i="1"/>
  <c r="L33" i="1"/>
  <c r="L31" i="1" s="1"/>
  <c r="K246" i="1"/>
  <c r="K310" i="1"/>
  <c r="M392" i="1"/>
  <c r="P392" i="1" s="1"/>
  <c r="N121" i="1"/>
  <c r="N119" i="1" s="1"/>
  <c r="M135" i="1"/>
  <c r="N263" i="1"/>
  <c r="N261" i="1" s="1"/>
  <c r="P323" i="1"/>
  <c r="K374" i="1"/>
  <c r="O557" i="1"/>
  <c r="J568" i="1"/>
  <c r="K568" i="1" s="1"/>
  <c r="J620" i="1"/>
  <c r="K620" i="1" s="1"/>
  <c r="O641" i="1"/>
  <c r="J708" i="1"/>
  <c r="N43" i="1"/>
  <c r="N41" i="1" s="1"/>
  <c r="O58" i="1"/>
  <c r="K81" i="1"/>
  <c r="K84" i="1"/>
  <c r="J100" i="1"/>
  <c r="K100" i="1" s="1"/>
  <c r="K113" i="1"/>
  <c r="K116" i="1"/>
  <c r="N135" i="1"/>
  <c r="P137" i="1"/>
  <c r="K260" i="1"/>
  <c r="O282" i="1"/>
  <c r="K276" i="1"/>
  <c r="J288" i="1"/>
  <c r="J275" i="1" s="1"/>
  <c r="K275" i="1" s="1"/>
  <c r="K325" i="1"/>
  <c r="L334" i="1"/>
  <c r="O334" i="1" s="1"/>
  <c r="K338" i="1"/>
  <c r="K495" i="1"/>
  <c r="L547" i="1"/>
  <c r="L43" i="1"/>
  <c r="L41" i="1" s="1"/>
  <c r="N229" i="1"/>
  <c r="J466" i="1"/>
  <c r="K466" i="1" s="1"/>
  <c r="K104" i="1"/>
  <c r="K109" i="1"/>
  <c r="K204" i="1"/>
  <c r="N209" i="1"/>
  <c r="L238" i="1"/>
  <c r="K293" i="1"/>
  <c r="K485" i="1"/>
  <c r="K649" i="1"/>
  <c r="K106" i="1"/>
  <c r="K110" i="1"/>
  <c r="L249" i="1"/>
  <c r="K498" i="1"/>
  <c r="M171" i="1"/>
  <c r="P171" i="1" s="1"/>
  <c r="P154" i="1"/>
  <c r="I314" i="1"/>
  <c r="O71" i="1"/>
  <c r="O74" i="1"/>
  <c r="K114" i="1"/>
  <c r="K118" i="1"/>
  <c r="P140" i="1"/>
  <c r="L155" i="1"/>
  <c r="O155" i="1" s="1"/>
  <c r="O170" i="1"/>
  <c r="O191" i="1"/>
  <c r="N217" i="1"/>
  <c r="L231" i="1"/>
  <c r="I236" i="1"/>
  <c r="N264" i="1"/>
  <c r="O264" i="1" s="1"/>
  <c r="O269" i="1"/>
  <c r="K287" i="1"/>
  <c r="K370" i="1"/>
  <c r="J434" i="1"/>
  <c r="J418" i="1" s="1"/>
  <c r="N549" i="1"/>
  <c r="N547" i="1" s="1"/>
  <c r="J604" i="1"/>
  <c r="L631" i="1"/>
  <c r="L629" i="1" s="1"/>
  <c r="K644" i="1"/>
  <c r="L658" i="1"/>
  <c r="J679" i="1"/>
  <c r="J678" i="1" s="1"/>
  <c r="K725" i="1"/>
  <c r="N184" i="1"/>
  <c r="P184" i="1" s="1"/>
  <c r="L55" i="1"/>
  <c r="L68" i="1"/>
  <c r="L66" i="1" s="1"/>
  <c r="I76" i="1"/>
  <c r="I64" i="1" s="1"/>
  <c r="K111" i="1"/>
  <c r="O137" i="1"/>
  <c r="M155" i="1"/>
  <c r="P155" i="1" s="1"/>
  <c r="M167" i="1"/>
  <c r="K206" i="1"/>
  <c r="L230" i="1"/>
  <c r="N238" i="1"/>
  <c r="N231" i="1"/>
  <c r="L300" i="1"/>
  <c r="L298" i="1" s="1"/>
  <c r="O306" i="1"/>
  <c r="M404" i="1"/>
  <c r="P404" i="1" s="1"/>
  <c r="N449" i="1"/>
  <c r="N446" i="1" s="1"/>
  <c r="L469" i="1"/>
  <c r="L467" i="1" s="1"/>
  <c r="N122" i="1"/>
  <c r="K314" i="1"/>
  <c r="N26" i="1"/>
  <c r="N24" i="1" s="1"/>
  <c r="N55" i="1"/>
  <c r="N53" i="1" s="1"/>
  <c r="I112" i="1"/>
  <c r="O152" i="1"/>
  <c r="K159" i="1"/>
  <c r="N167" i="1"/>
  <c r="N165" i="1" s="1"/>
  <c r="O186" i="1"/>
  <c r="N198" i="1"/>
  <c r="L229" i="1"/>
  <c r="K271" i="1"/>
  <c r="K290" i="1"/>
  <c r="O323" i="1"/>
  <c r="L347" i="1"/>
  <c r="L345" i="1" s="1"/>
  <c r="M405" i="1"/>
  <c r="P405" i="1" s="1"/>
  <c r="K487" i="1"/>
  <c r="N330" i="1"/>
  <c r="N328" i="1" s="1"/>
  <c r="N347" i="1"/>
  <c r="N345" i="1" s="1"/>
  <c r="J537" i="1"/>
  <c r="J522" i="1" s="1"/>
  <c r="K522" i="1" s="1"/>
  <c r="I77" i="1"/>
  <c r="K82" i="1"/>
  <c r="J112" i="1"/>
  <c r="O140" i="1"/>
  <c r="K144" i="1"/>
  <c r="K193" i="1"/>
  <c r="K207" i="1"/>
  <c r="L217" i="1"/>
  <c r="K437" i="1"/>
  <c r="K483" i="1"/>
  <c r="K541" i="1"/>
  <c r="J603" i="1"/>
  <c r="K723" i="1"/>
  <c r="L23" i="1"/>
  <c r="L21" i="1" s="1"/>
  <c r="M43" i="1"/>
  <c r="M41" i="1" s="1"/>
  <c r="O49" i="1"/>
  <c r="M68" i="1"/>
  <c r="M66" i="1" s="1"/>
  <c r="P71" i="1"/>
  <c r="K78" i="1"/>
  <c r="K115" i="1"/>
  <c r="O127" i="1"/>
  <c r="L138" i="1"/>
  <c r="O138" i="1" s="1"/>
  <c r="J143" i="1"/>
  <c r="J131" i="1" s="1"/>
  <c r="K131" i="1" s="1"/>
  <c r="L184" i="1"/>
  <c r="P186" i="1"/>
  <c r="I197" i="1"/>
  <c r="K197" i="1" s="1"/>
  <c r="J236" i="1"/>
  <c r="N249" i="1"/>
  <c r="K248" i="1"/>
  <c r="L263" i="1"/>
  <c r="L261" i="1" s="1"/>
  <c r="N301" i="1"/>
  <c r="O301" i="1" s="1"/>
  <c r="O303" i="1"/>
  <c r="N317" i="1"/>
  <c r="N315" i="1" s="1"/>
  <c r="M331" i="1"/>
  <c r="P331" i="1" s="1"/>
  <c r="P333" i="1"/>
  <c r="M347" i="1"/>
  <c r="M345" i="1" s="1"/>
  <c r="J364" i="1"/>
  <c r="K365" i="1"/>
  <c r="N391" i="1"/>
  <c r="N389" i="1" s="1"/>
  <c r="N404" i="1"/>
  <c r="N402" i="1" s="1"/>
  <c r="I433" i="1"/>
  <c r="K438" i="1"/>
  <c r="N472" i="1"/>
  <c r="J465" i="1"/>
  <c r="K465" i="1" s="1"/>
  <c r="J560" i="1"/>
  <c r="K560" i="1" s="1"/>
  <c r="K647" i="1"/>
  <c r="K674" i="1"/>
  <c r="N690" i="1"/>
  <c r="N688" i="1" s="1"/>
  <c r="O688" i="1" s="1"/>
  <c r="J722" i="1"/>
  <c r="K722" i="1" s="1"/>
  <c r="L533" i="1"/>
  <c r="O533" i="1" s="1"/>
  <c r="P49" i="1"/>
  <c r="P74" i="1"/>
  <c r="L90" i="1"/>
  <c r="L88" i="1" s="1"/>
  <c r="O93" i="1"/>
  <c r="K99" i="1"/>
  <c r="O124" i="1"/>
  <c r="P138" i="1"/>
  <c r="K145" i="1"/>
  <c r="K176" i="1"/>
  <c r="L318" i="1"/>
  <c r="O318" i="1" s="1"/>
  <c r="O331" i="1"/>
  <c r="K539" i="1"/>
  <c r="K542" i="1"/>
  <c r="L546" i="1"/>
  <c r="L544" i="1" s="1"/>
  <c r="N660" i="1"/>
  <c r="K670" i="1"/>
  <c r="K699" i="1"/>
  <c r="K803" i="1"/>
  <c r="K821" i="1"/>
  <c r="K824" i="1"/>
  <c r="K827" i="1"/>
  <c r="K87" i="1"/>
  <c r="L317" i="1"/>
  <c r="L315" i="1" s="1"/>
  <c r="L36" i="1"/>
  <c r="L34" i="1" s="1"/>
  <c r="O34" i="1" s="1"/>
  <c r="P56" i="1"/>
  <c r="O61" i="1"/>
  <c r="M90" i="1"/>
  <c r="M88" i="1" s="1"/>
  <c r="P93" i="1"/>
  <c r="O96" i="1"/>
  <c r="N228" i="1"/>
  <c r="I233" i="1"/>
  <c r="O285" i="1"/>
  <c r="K311" i="1"/>
  <c r="M334" i="1"/>
  <c r="P334" i="1" s="1"/>
  <c r="P348" i="1"/>
  <c r="P350" i="1"/>
  <c r="N424" i="1"/>
  <c r="N422" i="1" s="1"/>
  <c r="O422" i="1" s="1"/>
  <c r="L56" i="1"/>
  <c r="O56" i="1" s="1"/>
  <c r="P59" i="1"/>
  <c r="K79" i="1"/>
  <c r="P96" i="1"/>
  <c r="L135" i="1"/>
  <c r="O135" i="1" s="1"/>
  <c r="M151" i="1"/>
  <c r="M149" i="1" s="1"/>
  <c r="L209" i="1"/>
  <c r="K214" i="1"/>
  <c r="I235" i="1"/>
  <c r="K294" i="1"/>
  <c r="K312" i="1"/>
  <c r="N334" i="1"/>
  <c r="K360" i="1"/>
  <c r="K379" i="1"/>
  <c r="I388" i="1"/>
  <c r="K388" i="1" s="1"/>
  <c r="L395" i="1"/>
  <c r="O395" i="1" s="1"/>
  <c r="L408" i="1"/>
  <c r="O408" i="1" s="1"/>
  <c r="K538" i="1"/>
  <c r="J595" i="1"/>
  <c r="K671" i="1"/>
  <c r="K708" i="1"/>
  <c r="K720" i="1"/>
  <c r="N791" i="1"/>
  <c r="N789" i="1" s="1"/>
  <c r="K822" i="1"/>
  <c r="K825" i="1"/>
  <c r="K828" i="1"/>
  <c r="M122" i="1"/>
  <c r="P122" i="1" s="1"/>
  <c r="L134" i="1"/>
  <c r="K164" i="1"/>
  <c r="L26" i="1"/>
  <c r="O46" i="1"/>
  <c r="O59" i="1"/>
  <c r="M121" i="1"/>
  <c r="M119" i="1" s="1"/>
  <c r="P152" i="1"/>
  <c r="L183" i="1"/>
  <c r="J194" i="1"/>
  <c r="O266" i="1"/>
  <c r="L279" i="1"/>
  <c r="O280" i="1"/>
  <c r="J327" i="1"/>
  <c r="K327" i="1" s="1"/>
  <c r="K369" i="1"/>
  <c r="M395" i="1"/>
  <c r="P395" i="1" s="1"/>
  <c r="I401" i="1"/>
  <c r="K401" i="1" s="1"/>
  <c r="M408" i="1"/>
  <c r="P408" i="1" s="1"/>
  <c r="L446" i="1"/>
  <c r="L444" i="1" s="1"/>
  <c r="L454" i="1"/>
  <c r="O454" i="1" s="1"/>
  <c r="J582" i="1"/>
  <c r="J576" i="1" s="1"/>
  <c r="K576" i="1" s="1"/>
  <c r="K643" i="1"/>
  <c r="J701" i="1"/>
  <c r="K701" i="1" s="1"/>
  <c r="K728" i="1"/>
  <c r="J86" i="1"/>
  <c r="K86" i="1" s="1"/>
  <c r="K98" i="1"/>
  <c r="P29" i="1"/>
  <c r="M55" i="1"/>
  <c r="L168" i="1"/>
  <c r="O168" i="1" s="1"/>
  <c r="M283" i="1"/>
  <c r="P283" i="1" s="1"/>
  <c r="P285" i="1"/>
  <c r="N504" i="1"/>
  <c r="N502" i="1" s="1"/>
  <c r="N505" i="1"/>
  <c r="O806" i="1"/>
  <c r="L805" i="1"/>
  <c r="O805" i="1" s="1"/>
  <c r="O12" i="1"/>
  <c r="L15" i="1"/>
  <c r="O19" i="1"/>
  <c r="M23" i="1"/>
  <c r="O25" i="1"/>
  <c r="L29" i="1"/>
  <c r="M30" i="1"/>
  <c r="P30" i="1" s="1"/>
  <c r="O32" i="1"/>
  <c r="P42" i="1"/>
  <c r="P67" i="1"/>
  <c r="P89" i="1"/>
  <c r="I148" i="1"/>
  <c r="K148" i="1" s="1"/>
  <c r="P168" i="1"/>
  <c r="P170" i="1"/>
  <c r="M187" i="1"/>
  <c r="P187" i="1" s="1"/>
  <c r="L198" i="1"/>
  <c r="K215" i="1"/>
  <c r="K247" i="1"/>
  <c r="M318" i="1"/>
  <c r="P318" i="1" s="1"/>
  <c r="M317" i="1"/>
  <c r="M315" i="1" s="1"/>
  <c r="P320" i="1"/>
  <c r="N19" i="1"/>
  <c r="M183" i="1"/>
  <c r="M9" i="1"/>
  <c r="M15" i="1"/>
  <c r="N23" i="1"/>
  <c r="P32" i="1"/>
  <c r="M44" i="1"/>
  <c r="J76" i="1"/>
  <c r="N125" i="1"/>
  <c r="O125" i="1" s="1"/>
  <c r="P127" i="1"/>
  <c r="N151" i="1"/>
  <c r="N149" i="1" s="1"/>
  <c r="O154" i="1"/>
  <c r="P166" i="1"/>
  <c r="K174" i="1"/>
  <c r="I216" i="1"/>
  <c r="K216" i="1" s="1"/>
  <c r="J233" i="1"/>
  <c r="K258" i="1"/>
  <c r="O262" i="1"/>
  <c r="M264" i="1"/>
  <c r="P266" i="1"/>
  <c r="O299" i="1"/>
  <c r="M301" i="1"/>
  <c r="P303" i="1"/>
  <c r="O394" i="1"/>
  <c r="L391" i="1"/>
  <c r="L392" i="1"/>
  <c r="O392" i="1" s="1"/>
  <c r="O524" i="1"/>
  <c r="N44" i="1"/>
  <c r="O44" i="1" s="1"/>
  <c r="N47" i="1"/>
  <c r="P58" i="1"/>
  <c r="P61" i="1"/>
  <c r="N69" i="1"/>
  <c r="P69" i="1" s="1"/>
  <c r="N91" i="1"/>
  <c r="O91" i="1" s="1"/>
  <c r="L167" i="1"/>
  <c r="O182" i="1"/>
  <c r="I190" i="1"/>
  <c r="K190" i="1" s="1"/>
  <c r="J226" i="1"/>
  <c r="K309" i="1"/>
  <c r="J297" i="1"/>
  <c r="K297" i="1" s="1"/>
  <c r="P316" i="1"/>
  <c r="P329" i="1"/>
  <c r="J721" i="1"/>
  <c r="K721" i="1" s="1"/>
  <c r="K726" i="1"/>
  <c r="P787" i="1"/>
  <c r="M786" i="1"/>
  <c r="P786" i="1" s="1"/>
  <c r="N68" i="1"/>
  <c r="M267" i="1"/>
  <c r="P267" i="1" s="1"/>
  <c r="P269" i="1"/>
  <c r="O278" i="1"/>
  <c r="M280" i="1"/>
  <c r="P280" i="1" s="1"/>
  <c r="P282" i="1"/>
  <c r="M304" i="1"/>
  <c r="P304" i="1" s="1"/>
  <c r="P306" i="1"/>
  <c r="K462" i="1"/>
  <c r="J443" i="1"/>
  <c r="K443" i="1" s="1"/>
  <c r="M26" i="1"/>
  <c r="N90" i="1"/>
  <c r="L121" i="1"/>
  <c r="K208" i="1"/>
  <c r="K291" i="1"/>
  <c r="L330" i="1"/>
  <c r="P346" i="1"/>
  <c r="N351" i="1"/>
  <c r="P351" i="1" s="1"/>
  <c r="P353" i="1"/>
  <c r="K244" i="1"/>
  <c r="K255" i="1"/>
  <c r="O350" i="1"/>
  <c r="L405" i="1"/>
  <c r="O405" i="1" s="1"/>
  <c r="P524" i="1"/>
  <c r="M523" i="1"/>
  <c r="P523" i="1" s="1"/>
  <c r="J569" i="1"/>
  <c r="K569" i="1" s="1"/>
  <c r="N634" i="1"/>
  <c r="O333" i="1"/>
  <c r="L348" i="1"/>
  <c r="O348" i="1" s="1"/>
  <c r="K355" i="1"/>
  <c r="K372" i="1"/>
  <c r="L429" i="1"/>
  <c r="O429" i="1" s="1"/>
  <c r="O431" i="1"/>
  <c r="K492" i="1"/>
  <c r="J621" i="1"/>
  <c r="K621" i="1" s="1"/>
  <c r="L404" i="1"/>
  <c r="K460" i="1"/>
  <c r="I442" i="1"/>
  <c r="K442" i="1" s="1"/>
  <c r="L525" i="1"/>
  <c r="J561" i="1"/>
  <c r="K561" i="1" s="1"/>
  <c r="J583" i="1"/>
  <c r="J577" i="1" s="1"/>
  <c r="K577" i="1" s="1"/>
  <c r="P686" i="1"/>
  <c r="M685" i="1"/>
  <c r="P685" i="1" s="1"/>
  <c r="O353" i="1"/>
  <c r="P656" i="1"/>
  <c r="M655" i="1"/>
  <c r="P655" i="1" s="1"/>
  <c r="L351" i="1"/>
  <c r="M414" i="1"/>
  <c r="P414" i="1" s="1"/>
  <c r="K439" i="1"/>
  <c r="O445" i="1"/>
  <c r="L447" i="1"/>
  <c r="L477" i="1"/>
  <c r="O477" i="1" s="1"/>
  <c r="O479" i="1"/>
  <c r="O545" i="1"/>
  <c r="M805" i="1"/>
  <c r="P805" i="1" s="1"/>
  <c r="K673" i="1"/>
  <c r="L687" i="1"/>
  <c r="N740" i="1"/>
  <c r="N757" i="1"/>
  <c r="N773" i="1"/>
  <c r="O24" i="15" l="1"/>
  <c r="O345" i="15"/>
  <c r="I180" i="17"/>
  <c r="K180" i="17" s="1"/>
  <c r="O20" i="17"/>
  <c r="P20" i="17"/>
  <c r="M14" i="17"/>
  <c r="P14" i="17" s="1"/>
  <c r="I180" i="15"/>
  <c r="K180" i="15" s="1"/>
  <c r="I180" i="14"/>
  <c r="K180" i="14" s="1"/>
  <c r="L14" i="17"/>
  <c r="O14" i="17" s="1"/>
  <c r="P20" i="18"/>
  <c r="O66" i="18"/>
  <c r="N37" i="18"/>
  <c r="O24" i="17"/>
  <c r="M10" i="17"/>
  <c r="M8" i="17" s="1"/>
  <c r="P345" i="18"/>
  <c r="P24" i="14"/>
  <c r="O24" i="14"/>
  <c r="P13" i="17"/>
  <c r="P24" i="18"/>
  <c r="L14" i="18"/>
  <c r="O14" i="18" s="1"/>
  <c r="M18" i="17"/>
  <c r="P18" i="17" s="1"/>
  <c r="L10" i="18"/>
  <c r="O10" i="18" s="1"/>
  <c r="O11" i="18"/>
  <c r="O20" i="18"/>
  <c r="O345" i="18"/>
  <c r="L28" i="18"/>
  <c r="O28" i="18" s="1"/>
  <c r="N18" i="18"/>
  <c r="O18" i="18" s="1"/>
  <c r="L10" i="14"/>
  <c r="L8" i="14" s="1"/>
  <c r="P13" i="18"/>
  <c r="O21" i="17"/>
  <c r="M37" i="18"/>
  <c r="O16" i="14"/>
  <c r="N10" i="16"/>
  <c r="N8" i="16" s="1"/>
  <c r="L28" i="17"/>
  <c r="O28" i="17" s="1"/>
  <c r="N8" i="18"/>
  <c r="O13" i="18"/>
  <c r="K226" i="18"/>
  <c r="I180" i="18"/>
  <c r="K180" i="18" s="1"/>
  <c r="P10" i="18"/>
  <c r="M8" i="18"/>
  <c r="L37" i="18"/>
  <c r="O37" i="18" s="1"/>
  <c r="O53" i="15"/>
  <c r="N37" i="17"/>
  <c r="O419" i="18"/>
  <c r="L414" i="18"/>
  <c r="O414" i="18" s="1"/>
  <c r="O9" i="18"/>
  <c r="P345" i="17"/>
  <c r="P11" i="17"/>
  <c r="P298" i="17"/>
  <c r="L18" i="17"/>
  <c r="O18" i="17" s="1"/>
  <c r="M37" i="17"/>
  <c r="P9" i="17"/>
  <c r="O13" i="17"/>
  <c r="L10" i="17"/>
  <c r="L11" i="17"/>
  <c r="O11" i="17" s="1"/>
  <c r="O523" i="17"/>
  <c r="L414" i="17"/>
  <c r="O414" i="17" s="1"/>
  <c r="P277" i="10"/>
  <c r="P149" i="15"/>
  <c r="N8" i="17"/>
  <c r="L37" i="17"/>
  <c r="O165" i="3"/>
  <c r="O16" i="16"/>
  <c r="O14" i="16"/>
  <c r="P13" i="13"/>
  <c r="P24" i="15"/>
  <c r="P16" i="16"/>
  <c r="O11" i="16"/>
  <c r="M11" i="11"/>
  <c r="P11" i="11" s="1"/>
  <c r="P277" i="11"/>
  <c r="L14" i="12"/>
  <c r="O14" i="12" s="1"/>
  <c r="O277" i="16"/>
  <c r="O20" i="16"/>
  <c r="L18" i="16"/>
  <c r="O18" i="16" s="1"/>
  <c r="O9" i="16"/>
  <c r="K226" i="16"/>
  <c r="I180" i="16"/>
  <c r="K180" i="16" s="1"/>
  <c r="O328" i="15"/>
  <c r="N37" i="16"/>
  <c r="P41" i="16"/>
  <c r="O30" i="16"/>
  <c r="L28" i="16"/>
  <c r="O28" i="16" s="1"/>
  <c r="P13" i="16"/>
  <c r="M10" i="16"/>
  <c r="P10" i="16" s="1"/>
  <c r="L414" i="16"/>
  <c r="O414" i="16" s="1"/>
  <c r="O13" i="16"/>
  <c r="L10" i="16"/>
  <c r="P9" i="16"/>
  <c r="O41" i="16"/>
  <c r="L37" i="16"/>
  <c r="M37" i="16"/>
  <c r="P53" i="16"/>
  <c r="P20" i="16"/>
  <c r="M18" i="16"/>
  <c r="P18" i="16" s="1"/>
  <c r="O66" i="16"/>
  <c r="M11" i="16"/>
  <c r="P11" i="16" s="1"/>
  <c r="P345" i="14"/>
  <c r="O18" i="14"/>
  <c r="P181" i="15"/>
  <c r="O181" i="15"/>
  <c r="P88" i="15"/>
  <c r="O21" i="13"/>
  <c r="M37" i="15"/>
  <c r="O181" i="13"/>
  <c r="P18" i="13"/>
  <c r="L37" i="15"/>
  <c r="O181" i="14"/>
  <c r="L10" i="12"/>
  <c r="L8" i="12" s="1"/>
  <c r="N37" i="15"/>
  <c r="P21" i="15"/>
  <c r="L14" i="15"/>
  <c r="O14" i="15" s="1"/>
  <c r="M14" i="15"/>
  <c r="P14" i="15" s="1"/>
  <c r="N10" i="15"/>
  <c r="N8" i="15" s="1"/>
  <c r="N11" i="15"/>
  <c r="L18" i="15"/>
  <c r="O18" i="15" s="1"/>
  <c r="O20" i="15"/>
  <c r="P13" i="15"/>
  <c r="M10" i="15"/>
  <c r="M11" i="15"/>
  <c r="N414" i="15"/>
  <c r="O655" i="15"/>
  <c r="L11" i="15"/>
  <c r="L10" i="15"/>
  <c r="O13" i="15"/>
  <c r="P20" i="15"/>
  <c r="M18" i="15"/>
  <c r="P18" i="15" s="1"/>
  <c r="O261" i="15"/>
  <c r="P261" i="15"/>
  <c r="L414" i="15"/>
  <c r="O414" i="15" s="1"/>
  <c r="L28" i="15"/>
  <c r="O28" i="15" s="1"/>
  <c r="O20" i="13"/>
  <c r="L28" i="14"/>
  <c r="O28" i="14" s="1"/>
  <c r="O20" i="14"/>
  <c r="P13" i="12"/>
  <c r="L11" i="14"/>
  <c r="N10" i="12"/>
  <c r="M37" i="14"/>
  <c r="O328" i="12"/>
  <c r="O11" i="12"/>
  <c r="P13" i="11"/>
  <c r="O20" i="12"/>
  <c r="O24" i="12"/>
  <c r="O14" i="14"/>
  <c r="O544" i="14"/>
  <c r="L414" i="14"/>
  <c r="O414" i="14" s="1"/>
  <c r="N37" i="14"/>
  <c r="M10" i="14"/>
  <c r="P13" i="14"/>
  <c r="M11" i="14"/>
  <c r="O88" i="14"/>
  <c r="P20" i="14"/>
  <c r="M18" i="14"/>
  <c r="P18" i="14" s="1"/>
  <c r="P16" i="14"/>
  <c r="M14" i="14"/>
  <c r="P14" i="14" s="1"/>
  <c r="P20" i="13"/>
  <c r="L37" i="14"/>
  <c r="O9" i="14"/>
  <c r="N10" i="14"/>
  <c r="O13" i="14"/>
  <c r="N11" i="14"/>
  <c r="O345" i="12"/>
  <c r="P24" i="13"/>
  <c r="L37" i="13"/>
  <c r="O16" i="13"/>
  <c r="P20" i="12"/>
  <c r="P18" i="11"/>
  <c r="P10" i="11"/>
  <c r="N10" i="13"/>
  <c r="N8" i="13" s="1"/>
  <c r="O149" i="11"/>
  <c r="L28" i="13"/>
  <c r="O28" i="13" s="1"/>
  <c r="O24" i="11"/>
  <c r="L14" i="13"/>
  <c r="O14" i="13" s="1"/>
  <c r="P88" i="13"/>
  <c r="N37" i="13"/>
  <c r="P16" i="13"/>
  <c r="M14" i="13"/>
  <c r="P14" i="13" s="1"/>
  <c r="P41" i="13"/>
  <c r="M37" i="13"/>
  <c r="P24" i="11"/>
  <c r="L18" i="13"/>
  <c r="O18" i="13" s="1"/>
  <c r="P20" i="11"/>
  <c r="M10" i="13"/>
  <c r="O261" i="13"/>
  <c r="P261" i="13"/>
  <c r="O88" i="13"/>
  <c r="O21" i="12"/>
  <c r="K226" i="13"/>
  <c r="I180" i="13"/>
  <c r="K180" i="13" s="1"/>
  <c r="O11" i="13"/>
  <c r="P11" i="13"/>
  <c r="O13" i="13"/>
  <c r="L10" i="13"/>
  <c r="O9" i="13"/>
  <c r="P9" i="13"/>
  <c r="L414" i="13"/>
  <c r="O414" i="13" s="1"/>
  <c r="N18" i="12"/>
  <c r="O18" i="12" s="1"/>
  <c r="L28" i="12"/>
  <c r="O28" i="12" s="1"/>
  <c r="M11" i="12"/>
  <c r="P11" i="12" s="1"/>
  <c r="O13" i="12"/>
  <c r="I180" i="9"/>
  <c r="K180" i="9" s="1"/>
  <c r="O13" i="10"/>
  <c r="P24" i="10"/>
  <c r="I180" i="11"/>
  <c r="K180" i="11" s="1"/>
  <c r="L28" i="10"/>
  <c r="O28" i="10" s="1"/>
  <c r="O21" i="10"/>
  <c r="L14" i="11"/>
  <c r="O14" i="11" s="1"/>
  <c r="M18" i="12"/>
  <c r="O9" i="12"/>
  <c r="N37" i="12"/>
  <c r="P88" i="12"/>
  <c r="K226" i="12"/>
  <c r="I180" i="12"/>
  <c r="K180" i="12" s="1"/>
  <c r="P9" i="12"/>
  <c r="M14" i="12"/>
  <c r="P14" i="12" s="1"/>
  <c r="P16" i="12"/>
  <c r="M10" i="12"/>
  <c r="L37" i="12"/>
  <c r="L414" i="12"/>
  <c r="O414" i="12" s="1"/>
  <c r="O419" i="12"/>
  <c r="P41" i="12"/>
  <c r="M37" i="12"/>
  <c r="P132" i="12"/>
  <c r="M37" i="10"/>
  <c r="O21" i="8"/>
  <c r="O165" i="10"/>
  <c r="L28" i="11"/>
  <c r="O28" i="11" s="1"/>
  <c r="L414" i="11"/>
  <c r="O414" i="11" s="1"/>
  <c r="O20" i="11"/>
  <c r="P21" i="8"/>
  <c r="O261" i="11"/>
  <c r="O18" i="11"/>
  <c r="P88" i="11"/>
  <c r="L11" i="11"/>
  <c r="O11" i="11" s="1"/>
  <c r="O13" i="11"/>
  <c r="L10" i="11"/>
  <c r="L37" i="11"/>
  <c r="P9" i="11"/>
  <c r="M8" i="11"/>
  <c r="P8" i="11" s="1"/>
  <c r="P298" i="11"/>
  <c r="O298" i="11"/>
  <c r="P181" i="11"/>
  <c r="O181" i="11"/>
  <c r="P132" i="11"/>
  <c r="M37" i="11"/>
  <c r="N37" i="11"/>
  <c r="P149" i="11"/>
  <c r="P24" i="6"/>
  <c r="N37" i="10"/>
  <c r="O66" i="8"/>
  <c r="P66" i="10"/>
  <c r="P41" i="10"/>
  <c r="O20" i="10"/>
  <c r="P277" i="7"/>
  <c r="M14" i="8"/>
  <c r="P14" i="8" s="1"/>
  <c r="O16" i="10"/>
  <c r="L14" i="10"/>
  <c r="O14" i="10" s="1"/>
  <c r="P9" i="10"/>
  <c r="O18" i="10"/>
  <c r="M14" i="10"/>
  <c r="P14" i="10" s="1"/>
  <c r="L28" i="8"/>
  <c r="O28" i="8" s="1"/>
  <c r="L10" i="10"/>
  <c r="O88" i="10"/>
  <c r="L37" i="10"/>
  <c r="P21" i="10"/>
  <c r="O467" i="10"/>
  <c r="L414" i="10"/>
  <c r="O414" i="10" s="1"/>
  <c r="O24" i="5"/>
  <c r="P13" i="10"/>
  <c r="M10" i="10"/>
  <c r="M11" i="10"/>
  <c r="K226" i="10"/>
  <c r="I180" i="10"/>
  <c r="K180" i="10" s="1"/>
  <c r="N10" i="10"/>
  <c r="N8" i="10" s="1"/>
  <c r="N11" i="10"/>
  <c r="O11" i="10" s="1"/>
  <c r="P544" i="10"/>
  <c r="M414" i="10"/>
  <c r="P414" i="10" s="1"/>
  <c r="M18" i="10"/>
  <c r="P18" i="10" s="1"/>
  <c r="P20" i="10"/>
  <c r="P20" i="9"/>
  <c r="P21" i="9"/>
  <c r="M10" i="5"/>
  <c r="M8" i="5" s="1"/>
  <c r="O181" i="7"/>
  <c r="O20" i="9"/>
  <c r="M14" i="5"/>
  <c r="P14" i="5" s="1"/>
  <c r="P24" i="9"/>
  <c r="N37" i="9"/>
  <c r="N8" i="8"/>
  <c r="O24" i="9"/>
  <c r="L37" i="9"/>
  <c r="M18" i="9"/>
  <c r="P18" i="9" s="1"/>
  <c r="P345" i="8"/>
  <c r="O655" i="9"/>
  <c r="O21" i="9"/>
  <c r="O20" i="3"/>
  <c r="N37" i="8"/>
  <c r="O30" i="9"/>
  <c r="L28" i="9"/>
  <c r="O28" i="9" s="1"/>
  <c r="O13" i="9"/>
  <c r="L10" i="9"/>
  <c r="L8" i="9" s="1"/>
  <c r="P13" i="9"/>
  <c r="M10" i="9"/>
  <c r="M8" i="9" s="1"/>
  <c r="P88" i="9"/>
  <c r="M37" i="9"/>
  <c r="P16" i="9"/>
  <c r="M14" i="9"/>
  <c r="P14" i="9" s="1"/>
  <c r="O16" i="9"/>
  <c r="L14" i="9"/>
  <c r="O14" i="9" s="1"/>
  <c r="L18" i="9"/>
  <c r="O18" i="9" s="1"/>
  <c r="P9" i="9"/>
  <c r="O9" i="9"/>
  <c r="N11" i="9"/>
  <c r="P11" i="9" s="1"/>
  <c r="N10" i="9"/>
  <c r="N8" i="9" s="1"/>
  <c r="L414" i="9"/>
  <c r="O414" i="9" s="1"/>
  <c r="O419" i="9"/>
  <c r="O24" i="8"/>
  <c r="O24" i="7"/>
  <c r="M37" i="8"/>
  <c r="O11" i="7"/>
  <c r="O277" i="4"/>
  <c r="L28" i="7"/>
  <c r="O28" i="7" s="1"/>
  <c r="O53" i="8"/>
  <c r="P53" i="8"/>
  <c r="N37" i="7"/>
  <c r="P13" i="8"/>
  <c r="M10" i="8"/>
  <c r="P10" i="8" s="1"/>
  <c r="M11" i="8"/>
  <c r="P11" i="8" s="1"/>
  <c r="O419" i="8"/>
  <c r="L414" i="8"/>
  <c r="O414" i="8" s="1"/>
  <c r="O13" i="8"/>
  <c r="L10" i="8"/>
  <c r="L11" i="8"/>
  <c r="O11" i="8" s="1"/>
  <c r="L14" i="8"/>
  <c r="O14" i="8" s="1"/>
  <c r="O41" i="8"/>
  <c r="L37" i="8"/>
  <c r="P21" i="7"/>
  <c r="I180" i="8"/>
  <c r="K180" i="8" s="1"/>
  <c r="K226" i="8"/>
  <c r="O20" i="8"/>
  <c r="P20" i="8"/>
  <c r="M18" i="8"/>
  <c r="P18" i="8" s="1"/>
  <c r="P9" i="8"/>
  <c r="L18" i="8"/>
  <c r="O18" i="8" s="1"/>
  <c r="P16" i="7"/>
  <c r="O18" i="7"/>
  <c r="L28" i="5"/>
  <c r="O28" i="5" s="1"/>
  <c r="P20" i="7"/>
  <c r="M18" i="7"/>
  <c r="P18" i="7" s="1"/>
  <c r="O9" i="7"/>
  <c r="L37" i="7"/>
  <c r="O41" i="7"/>
  <c r="O277" i="5"/>
  <c r="O13" i="7"/>
  <c r="L10" i="7"/>
  <c r="O16" i="7"/>
  <c r="L14" i="7"/>
  <c r="N14" i="7"/>
  <c r="P14" i="7" s="1"/>
  <c r="N10" i="7"/>
  <c r="N8" i="7" s="1"/>
  <c r="O20" i="7"/>
  <c r="P41" i="7"/>
  <c r="M37" i="7"/>
  <c r="P13" i="7"/>
  <c r="M10" i="7"/>
  <c r="M11" i="7"/>
  <c r="P11" i="7" s="1"/>
  <c r="O21" i="5"/>
  <c r="O523" i="7"/>
  <c r="L414" i="7"/>
  <c r="O414" i="7" s="1"/>
  <c r="K226" i="7"/>
  <c r="I180" i="7"/>
  <c r="K180" i="7" s="1"/>
  <c r="O181" i="6"/>
  <c r="P20" i="5"/>
  <c r="O24" i="2"/>
  <c r="P20" i="4"/>
  <c r="L414" i="6"/>
  <c r="O414" i="6" s="1"/>
  <c r="N11" i="3"/>
  <c r="P11" i="3" s="1"/>
  <c r="P24" i="2"/>
  <c r="M10" i="4"/>
  <c r="M8" i="4" s="1"/>
  <c r="L14" i="6"/>
  <c r="O14" i="6" s="1"/>
  <c r="L37" i="5"/>
  <c r="P132" i="5"/>
  <c r="N37" i="6"/>
  <c r="P66" i="6"/>
  <c r="O88" i="6"/>
  <c r="L37" i="6"/>
  <c r="O469" i="6"/>
  <c r="O165" i="6"/>
  <c r="P9" i="6"/>
  <c r="O20" i="6"/>
  <c r="L18" i="6"/>
  <c r="O18" i="6" s="1"/>
  <c r="K226" i="6"/>
  <c r="I180" i="6"/>
  <c r="K180" i="6" s="1"/>
  <c r="M14" i="6"/>
  <c r="P14" i="6" s="1"/>
  <c r="O9" i="6"/>
  <c r="P20" i="6"/>
  <c r="M18" i="6"/>
  <c r="P18" i="6" s="1"/>
  <c r="N30" i="6"/>
  <c r="N31" i="6"/>
  <c r="O31" i="6" s="1"/>
  <c r="O33" i="6"/>
  <c r="N13" i="6"/>
  <c r="P13" i="6" s="1"/>
  <c r="M10" i="6"/>
  <c r="M8" i="6" s="1"/>
  <c r="M11" i="6"/>
  <c r="P41" i="6"/>
  <c r="M37" i="6"/>
  <c r="L10" i="6"/>
  <c r="L11" i="6"/>
  <c r="O467" i="6"/>
  <c r="I180" i="4"/>
  <c r="K180" i="4" s="1"/>
  <c r="O13" i="5"/>
  <c r="L28" i="3"/>
  <c r="O28" i="3" s="1"/>
  <c r="P24" i="4"/>
  <c r="O18" i="4"/>
  <c r="L14" i="5"/>
  <c r="O14" i="5" s="1"/>
  <c r="P20" i="3"/>
  <c r="P261" i="3"/>
  <c r="L10" i="5"/>
  <c r="L8" i="5" s="1"/>
  <c r="L28" i="4"/>
  <c r="O28" i="4" s="1"/>
  <c r="P21" i="5"/>
  <c r="I180" i="5"/>
  <c r="K180" i="5" s="1"/>
  <c r="K226" i="5"/>
  <c r="L414" i="5"/>
  <c r="O414" i="5" s="1"/>
  <c r="N10" i="5"/>
  <c r="N8" i="5" s="1"/>
  <c r="N11" i="5"/>
  <c r="O11" i="5" s="1"/>
  <c r="N37" i="5"/>
  <c r="O20" i="5"/>
  <c r="N18" i="5"/>
  <c r="P18" i="5" s="1"/>
  <c r="P298" i="5"/>
  <c r="N37" i="2"/>
  <c r="N37" i="4"/>
  <c r="P13" i="4"/>
  <c r="O41" i="5"/>
  <c r="O9" i="5"/>
  <c r="M37" i="5"/>
  <c r="P181" i="3"/>
  <c r="O88" i="4"/>
  <c r="N8" i="3"/>
  <c r="O183" i="1"/>
  <c r="O21" i="4"/>
  <c r="N8" i="4"/>
  <c r="M10" i="3"/>
  <c r="P10" i="3" s="1"/>
  <c r="O24" i="3"/>
  <c r="O9" i="4"/>
  <c r="N526" i="1"/>
  <c r="O526" i="1" s="1"/>
  <c r="P13" i="3"/>
  <c r="O16" i="4"/>
  <c r="L14" i="4"/>
  <c r="O14" i="4" s="1"/>
  <c r="N414" i="4"/>
  <c r="P9" i="4"/>
  <c r="O419" i="4"/>
  <c r="L414" i="4"/>
  <c r="O13" i="4"/>
  <c r="L10" i="4"/>
  <c r="O10" i="4" s="1"/>
  <c r="O41" i="4"/>
  <c r="L37" i="4"/>
  <c r="P298" i="4"/>
  <c r="N16" i="1"/>
  <c r="N14" i="1" s="1"/>
  <c r="P41" i="4"/>
  <c r="M37" i="4"/>
  <c r="O20" i="4"/>
  <c r="P16" i="4"/>
  <c r="M14" i="4"/>
  <c r="P14" i="4" s="1"/>
  <c r="L18" i="3"/>
  <c r="O18" i="3" s="1"/>
  <c r="P18" i="3"/>
  <c r="M18" i="4"/>
  <c r="P18" i="4" s="1"/>
  <c r="N11" i="4"/>
  <c r="O11" i="4" s="1"/>
  <c r="L227" i="1"/>
  <c r="P132" i="3"/>
  <c r="L414" i="2"/>
  <c r="K364" i="1"/>
  <c r="M14" i="3"/>
  <c r="P14" i="3" s="1"/>
  <c r="O238" i="1"/>
  <c r="O419" i="2"/>
  <c r="O41" i="3"/>
  <c r="L37" i="3"/>
  <c r="O13" i="3"/>
  <c r="L10" i="3"/>
  <c r="O10" i="3" s="1"/>
  <c r="N414" i="3"/>
  <c r="P53" i="3"/>
  <c r="M37" i="3"/>
  <c r="K226" i="3"/>
  <c r="I180" i="3"/>
  <c r="K180" i="3" s="1"/>
  <c r="O444" i="3"/>
  <c r="L414" i="3"/>
  <c r="O414" i="3" s="1"/>
  <c r="L11" i="3"/>
  <c r="P264" i="1"/>
  <c r="N525" i="1"/>
  <c r="N523" i="1" s="1"/>
  <c r="O789" i="1"/>
  <c r="P9" i="3"/>
  <c r="O9" i="3"/>
  <c r="O298" i="3"/>
  <c r="O328" i="2"/>
  <c r="N37" i="3"/>
  <c r="O16" i="3"/>
  <c r="L14" i="3"/>
  <c r="O14" i="3" s="1"/>
  <c r="P183" i="1"/>
  <c r="P279" i="1"/>
  <c r="O134" i="1"/>
  <c r="M389" i="1"/>
  <c r="P389" i="1" s="1"/>
  <c r="J594" i="1"/>
  <c r="K594" i="1" s="1"/>
  <c r="M37" i="2"/>
  <c r="L28" i="2"/>
  <c r="O28" i="2" s="1"/>
  <c r="L37" i="2"/>
  <c r="O549" i="1"/>
  <c r="O300" i="1"/>
  <c r="P261" i="2"/>
  <c r="O261" i="2"/>
  <c r="P330" i="1"/>
  <c r="N10" i="2"/>
  <c r="N8" i="2" s="1"/>
  <c r="N11" i="2"/>
  <c r="O21" i="2"/>
  <c r="K418" i="1"/>
  <c r="K226" i="2"/>
  <c r="I180" i="2"/>
  <c r="K180" i="2" s="1"/>
  <c r="O13" i="2"/>
  <c r="L10" i="2"/>
  <c r="L11" i="2"/>
  <c r="P300" i="1"/>
  <c r="O20" i="2"/>
  <c r="L18" i="2"/>
  <c r="O18" i="2" s="1"/>
  <c r="P21" i="2"/>
  <c r="O629" i="2"/>
  <c r="N414" i="2"/>
  <c r="P13" i="2"/>
  <c r="M10" i="2"/>
  <c r="M11" i="2"/>
  <c r="P328" i="1"/>
  <c r="P20" i="2"/>
  <c r="M18" i="2"/>
  <c r="P18" i="2" s="1"/>
  <c r="L14" i="2"/>
  <c r="O14" i="2" s="1"/>
  <c r="O317" i="1"/>
  <c r="K235" i="1"/>
  <c r="P134" i="1"/>
  <c r="O347" i="1"/>
  <c r="O279" i="1"/>
  <c r="P119" i="1"/>
  <c r="M298" i="1"/>
  <c r="P298" i="1" s="1"/>
  <c r="K675" i="1"/>
  <c r="N447" i="1"/>
  <c r="O447" i="1" s="1"/>
  <c r="O449" i="1"/>
  <c r="P135" i="1"/>
  <c r="K785" i="1"/>
  <c r="O249" i="1"/>
  <c r="M132" i="1"/>
  <c r="P132" i="1" s="1"/>
  <c r="O424" i="1"/>
  <c r="N421" i="1"/>
  <c r="N419" i="1" s="1"/>
  <c r="O209" i="1"/>
  <c r="K236" i="1"/>
  <c r="K77" i="1"/>
  <c r="P167" i="1"/>
  <c r="K288" i="1"/>
  <c r="O43" i="1"/>
  <c r="N546" i="1"/>
  <c r="N544" i="1" s="1"/>
  <c r="O544" i="1" s="1"/>
  <c r="K233" i="1"/>
  <c r="O198" i="1"/>
  <c r="L16" i="1"/>
  <c r="L14" i="1" s="1"/>
  <c r="M402" i="1"/>
  <c r="P402" i="1" s="1"/>
  <c r="O55" i="1"/>
  <c r="N687" i="1"/>
  <c r="N685" i="1" s="1"/>
  <c r="L13" i="1"/>
  <c r="L11" i="1" s="1"/>
  <c r="P301" i="1"/>
  <c r="L53" i="1"/>
  <c r="O53" i="1" s="1"/>
  <c r="I65" i="1"/>
  <c r="K65" i="1" s="1"/>
  <c r="M165" i="1"/>
  <c r="P165" i="1" s="1"/>
  <c r="O547" i="1"/>
  <c r="P121" i="1"/>
  <c r="O23" i="1"/>
  <c r="K537" i="1"/>
  <c r="O217" i="1"/>
  <c r="O261" i="1"/>
  <c r="K112" i="1"/>
  <c r="K434" i="1"/>
  <c r="P43" i="1"/>
  <c r="J593" i="1"/>
  <c r="J592" i="1" s="1"/>
  <c r="K592" i="1" s="1"/>
  <c r="P347" i="1"/>
  <c r="O263" i="1"/>
  <c r="P261" i="1"/>
  <c r="P263" i="1"/>
  <c r="O330" i="1"/>
  <c r="O345" i="1"/>
  <c r="O167" i="1"/>
  <c r="P277" i="1"/>
  <c r="O184" i="1"/>
  <c r="O315" i="1"/>
  <c r="N33" i="1"/>
  <c r="O33" i="1" s="1"/>
  <c r="O446" i="1"/>
  <c r="O634" i="1"/>
  <c r="N227" i="1"/>
  <c r="J559" i="1"/>
  <c r="O791" i="1"/>
  <c r="O690" i="1"/>
  <c r="L277" i="1"/>
  <c r="O277" i="1" s="1"/>
  <c r="K143" i="1"/>
  <c r="L20" i="1"/>
  <c r="L18" i="1" s="1"/>
  <c r="L132" i="1"/>
  <c r="O132" i="1" s="1"/>
  <c r="O26" i="1"/>
  <c r="I417" i="1"/>
  <c r="K417" i="1" s="1"/>
  <c r="K433" i="1"/>
  <c r="L181" i="1"/>
  <c r="O181" i="1" s="1"/>
  <c r="N658" i="1"/>
  <c r="O658" i="1" s="1"/>
  <c r="N657" i="1"/>
  <c r="O660" i="1"/>
  <c r="O351" i="1"/>
  <c r="N444" i="1"/>
  <c r="O444" i="1" s="1"/>
  <c r="P315" i="1"/>
  <c r="O69" i="1"/>
  <c r="L24" i="1"/>
  <c r="O24" i="1" s="1"/>
  <c r="O36" i="1"/>
  <c r="L30" i="1"/>
  <c r="L28" i="1" s="1"/>
  <c r="N788" i="1"/>
  <c r="O788" i="1" s="1"/>
  <c r="O298" i="1"/>
  <c r="P317" i="1"/>
  <c r="N470" i="1"/>
  <c r="O470" i="1" s="1"/>
  <c r="O472" i="1"/>
  <c r="N469" i="1"/>
  <c r="O149" i="1"/>
  <c r="P149" i="1"/>
  <c r="P44" i="1"/>
  <c r="M13" i="1"/>
  <c r="P23" i="1"/>
  <c r="M20" i="1"/>
  <c r="M21" i="1"/>
  <c r="P345" i="1"/>
  <c r="O68" i="1"/>
  <c r="P68" i="1"/>
  <c r="N66" i="1"/>
  <c r="O391" i="1"/>
  <c r="L389" i="1"/>
  <c r="O389" i="1" s="1"/>
  <c r="M181" i="1"/>
  <c r="P181" i="1" s="1"/>
  <c r="M28" i="1"/>
  <c r="P28" i="1" s="1"/>
  <c r="L119" i="1"/>
  <c r="O121" i="1"/>
  <c r="L165" i="1"/>
  <c r="O165" i="1" s="1"/>
  <c r="K669" i="1"/>
  <c r="O404" i="1"/>
  <c r="L402" i="1"/>
  <c r="O402" i="1" s="1"/>
  <c r="K226" i="1"/>
  <c r="J180" i="1"/>
  <c r="K180" i="1" s="1"/>
  <c r="P151" i="1"/>
  <c r="O151" i="1"/>
  <c r="O15" i="1"/>
  <c r="P55" i="1"/>
  <c r="M53" i="1"/>
  <c r="P125" i="1"/>
  <c r="P91" i="1"/>
  <c r="L685" i="1"/>
  <c r="P9" i="1"/>
  <c r="N631" i="1"/>
  <c r="N632" i="1"/>
  <c r="O632" i="1" s="1"/>
  <c r="O90" i="1"/>
  <c r="P90" i="1"/>
  <c r="N88" i="1"/>
  <c r="N20" i="1"/>
  <c r="N21" i="1"/>
  <c r="O21" i="1" s="1"/>
  <c r="O29" i="1"/>
  <c r="M24" i="1"/>
  <c r="P24" i="1" s="1"/>
  <c r="P26" i="1"/>
  <c r="M16" i="1"/>
  <c r="L523" i="1"/>
  <c r="L328" i="1"/>
  <c r="O328" i="1" s="1"/>
  <c r="J64" i="1"/>
  <c r="K64" i="1" s="1"/>
  <c r="K76" i="1"/>
  <c r="P15" i="1"/>
  <c r="O41" i="1"/>
  <c r="L9" i="1"/>
  <c r="P41" i="1"/>
  <c r="P37" i="18" l="1"/>
  <c r="O37" i="15"/>
  <c r="O37" i="17"/>
  <c r="O10" i="14"/>
  <c r="P37" i="17"/>
  <c r="P10" i="17"/>
  <c r="L8" i="18"/>
  <c r="O8" i="18" s="1"/>
  <c r="P18" i="18"/>
  <c r="O10" i="16"/>
  <c r="P8" i="18"/>
  <c r="P8" i="17"/>
  <c r="O10" i="17"/>
  <c r="L8" i="17"/>
  <c r="O8" i="17" s="1"/>
  <c r="O10" i="12"/>
  <c r="M8" i="16"/>
  <c r="P8" i="16" s="1"/>
  <c r="P37" i="14"/>
  <c r="O11" i="15"/>
  <c r="P37" i="16"/>
  <c r="O37" i="16"/>
  <c r="L8" i="16"/>
  <c r="O8" i="16" s="1"/>
  <c r="P37" i="15"/>
  <c r="P11" i="15"/>
  <c r="P10" i="15"/>
  <c r="M8" i="15"/>
  <c r="P8" i="15" s="1"/>
  <c r="O37" i="13"/>
  <c r="O10" i="15"/>
  <c r="L8" i="15"/>
  <c r="O8" i="15" s="1"/>
  <c r="P11" i="14"/>
  <c r="N8" i="12"/>
  <c r="O8" i="12" s="1"/>
  <c r="O37" i="14"/>
  <c r="P10" i="12"/>
  <c r="O11" i="14"/>
  <c r="P10" i="14"/>
  <c r="M8" i="14"/>
  <c r="N8" i="14"/>
  <c r="O8" i="14" s="1"/>
  <c r="P10" i="13"/>
  <c r="O10" i="13"/>
  <c r="M8" i="13"/>
  <c r="P8" i="13" s="1"/>
  <c r="O37" i="12"/>
  <c r="L8" i="13"/>
  <c r="O8" i="13" s="1"/>
  <c r="P37" i="13"/>
  <c r="P18" i="12"/>
  <c r="P37" i="8"/>
  <c r="P37" i="10"/>
  <c r="M8" i="12"/>
  <c r="P37" i="12"/>
  <c r="O10" i="11"/>
  <c r="L8" i="11"/>
  <c r="O8" i="11" s="1"/>
  <c r="P8" i="9"/>
  <c r="P37" i="11"/>
  <c r="O37" i="11"/>
  <c r="O11" i="9"/>
  <c r="O37" i="10"/>
  <c r="P10" i="10"/>
  <c r="P37" i="9"/>
  <c r="P11" i="10"/>
  <c r="P37" i="7"/>
  <c r="O10" i="10"/>
  <c r="L8" i="10"/>
  <c r="O8" i="10" s="1"/>
  <c r="M8" i="10"/>
  <c r="P8" i="10" s="1"/>
  <c r="O37" i="9"/>
  <c r="O8" i="9"/>
  <c r="O37" i="8"/>
  <c r="P10" i="9"/>
  <c r="O10" i="9"/>
  <c r="P10" i="4"/>
  <c r="O13" i="6"/>
  <c r="O37" i="7"/>
  <c r="M8" i="8"/>
  <c r="P8" i="8" s="1"/>
  <c r="O11" i="3"/>
  <c r="O37" i="5"/>
  <c r="O37" i="6"/>
  <c r="O10" i="8"/>
  <c r="L8" i="8"/>
  <c r="O8" i="8" s="1"/>
  <c r="P37" i="6"/>
  <c r="O14" i="7"/>
  <c r="P10" i="7"/>
  <c r="M8" i="7"/>
  <c r="P8" i="7" s="1"/>
  <c r="O10" i="7"/>
  <c r="L8" i="7"/>
  <c r="O8" i="7" s="1"/>
  <c r="O10" i="5"/>
  <c r="O37" i="2"/>
  <c r="O30" i="6"/>
  <c r="N28" i="6"/>
  <c r="O28" i="6" s="1"/>
  <c r="N10" i="6"/>
  <c r="N8" i="6" s="1"/>
  <c r="P8" i="6" s="1"/>
  <c r="N11" i="6"/>
  <c r="O11" i="6" s="1"/>
  <c r="L8" i="6"/>
  <c r="P8" i="5"/>
  <c r="O8" i="5"/>
  <c r="P11" i="5"/>
  <c r="O18" i="5"/>
  <c r="P10" i="5"/>
  <c r="O37" i="4"/>
  <c r="M8" i="3"/>
  <c r="P8" i="3" s="1"/>
  <c r="P37" i="5"/>
  <c r="O11" i="2"/>
  <c r="P37" i="4"/>
  <c r="P37" i="2"/>
  <c r="P8" i="4"/>
  <c r="P11" i="4"/>
  <c r="P16" i="1"/>
  <c r="O414" i="4"/>
  <c r="P11" i="2"/>
  <c r="L8" i="3"/>
  <c r="O8" i="3" s="1"/>
  <c r="P37" i="3"/>
  <c r="L8" i="4"/>
  <c r="O8" i="4" s="1"/>
  <c r="O414" i="2"/>
  <c r="O525" i="1"/>
  <c r="O523" i="1"/>
  <c r="O37" i="3"/>
  <c r="O546" i="1"/>
  <c r="P10" i="2"/>
  <c r="M8" i="2"/>
  <c r="P8" i="2" s="1"/>
  <c r="O10" i="2"/>
  <c r="L8" i="2"/>
  <c r="O8" i="2" s="1"/>
  <c r="O687" i="1"/>
  <c r="O421" i="1"/>
  <c r="K593" i="1"/>
  <c r="N37" i="1"/>
  <c r="O16" i="1"/>
  <c r="L10" i="1"/>
  <c r="L8" i="1" s="1"/>
  <c r="O685" i="1"/>
  <c r="O20" i="1"/>
  <c r="N13" i="1"/>
  <c r="O13" i="1" s="1"/>
  <c r="N31" i="1"/>
  <c r="O31" i="1" s="1"/>
  <c r="M14" i="1"/>
  <c r="P14" i="1" s="1"/>
  <c r="N467" i="1"/>
  <c r="O467" i="1" s="1"/>
  <c r="O469" i="1"/>
  <c r="O14" i="1"/>
  <c r="N18" i="1"/>
  <c r="O18" i="1" s="1"/>
  <c r="N30" i="1"/>
  <c r="O30" i="1" s="1"/>
  <c r="O657" i="1"/>
  <c r="N655" i="1"/>
  <c r="O655" i="1" s="1"/>
  <c r="N786" i="1"/>
  <c r="O786" i="1" s="1"/>
  <c r="J543" i="1"/>
  <c r="K543" i="1" s="1"/>
  <c r="K559" i="1"/>
  <c r="O419" i="1"/>
  <c r="N629" i="1"/>
  <c r="O629" i="1" s="1"/>
  <c r="O631" i="1"/>
  <c r="O119" i="1"/>
  <c r="L37" i="1"/>
  <c r="P21" i="1"/>
  <c r="P53" i="1"/>
  <c r="M37" i="1"/>
  <c r="M18" i="1"/>
  <c r="P20" i="1"/>
  <c r="O88" i="1"/>
  <c r="P88" i="1"/>
  <c r="L414" i="1"/>
  <c r="P66" i="1"/>
  <c r="O66" i="1"/>
  <c r="O9" i="1"/>
  <c r="M10" i="1"/>
  <c r="M11" i="1"/>
  <c r="P8" i="12" l="1"/>
  <c r="P8" i="14"/>
  <c r="P11" i="6"/>
  <c r="O10" i="6"/>
  <c r="P10" i="6"/>
  <c r="O8" i="6"/>
  <c r="O37" i="1"/>
  <c r="N28" i="1"/>
  <c r="O28" i="1" s="1"/>
  <c r="P13" i="1"/>
  <c r="P37" i="1"/>
  <c r="N11" i="1"/>
  <c r="O11" i="1" s="1"/>
  <c r="N10" i="1"/>
  <c r="N8" i="1" s="1"/>
  <c r="O8" i="1" s="1"/>
  <c r="P18" i="1"/>
  <c r="N414" i="1"/>
  <c r="O414" i="1" s="1"/>
  <c r="M8" i="1"/>
  <c r="P8" i="1" l="1"/>
  <c r="P11" i="1"/>
  <c r="P10" i="1"/>
  <c r="O10" i="1"/>
</calcChain>
</file>

<file path=xl/sharedStrings.xml><?xml version="1.0" encoding="utf-8"?>
<sst xmlns="http://schemas.openxmlformats.org/spreadsheetml/2006/main" count="27981" uniqueCount="356">
  <si>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</si>
  <si>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</si>
  <si>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</si>
  <si>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</si>
  <si>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</si>
  <si>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</si>
  <si>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</si>
  <si>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</si>
  <si>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</si>
  <si>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</si>
  <si>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</si>
  <si>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</si>
  <si>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</si>
  <si>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</si>
  <si>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</si>
  <si>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</si>
  <si>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</si>
  <si>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</si>
  <si>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</si>
  <si>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</si>
  <si>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</si>
  <si>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</si>
  <si>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</si>
  <si>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</si>
  <si>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</si>
  <si>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</si>
  <si>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</si>
  <si>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</si>
  <si>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</si>
  <si>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</si>
  <si>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</si>
  <si>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</si>
  <si>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</si>
  <si>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</si>
  <si>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</si>
  <si>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</si>
  <si>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</si>
  <si>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</si>
  <si>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</si>
  <si>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</si>
  <si>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</si>
  <si>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</si>
  <si>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</si>
  <si>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</si>
  <si>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</si>
  <si>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</si>
  <si>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</si>
  <si>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</si>
  <si>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</si>
  <si>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</si>
  <si>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</si>
  <si>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</si>
  <si>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</si>
  <si>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</si>
  <si>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</si>
  <si>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</si>
  <si>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</si>
  <si>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</si>
  <si>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</si>
  <si>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</si>
  <si>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</si>
  <si>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</si>
  <si>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</si>
  <si>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</si>
  <si>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</si>
  <si>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</si>
  <si>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</si>
  <si>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</si>
  <si>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</si>
  <si>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</si>
  <si>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</si>
  <si>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</si>
  <si>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</si>
  <si>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</si>
  <si>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</si>
  <si>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</si>
  <si>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</si>
  <si>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</si>
  <si>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</si>
  <si>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</si>
  <si>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</si>
  <si>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</si>
  <si>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</si>
  <si>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</si>
  <si>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</si>
  <si>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</si>
  <si>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</si>
  <si>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</si>
  <si>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</si>
  <si>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</si>
  <si>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</si>
  <si>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</si>
  <si>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</si>
  <si>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</si>
  <si>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</si>
  <si>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</si>
  <si>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</si>
  <si>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</si>
  <si>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</si>
  <si>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</si>
  <si>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</si>
  <si>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</si>
  <si>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</si>
  <si>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</si>
  <si>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</si>
  <si>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</si>
  <si>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</si>
  <si>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</si>
  <si>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</si>
  <si>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</si>
  <si>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</si>
  <si>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</si>
  <si>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</si>
  <si>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</si>
  <si>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</si>
  <si>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</si>
  <si>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</si>
  <si>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</si>
  <si>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</si>
  <si>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</si>
  <si>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</si>
  <si>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</si>
  <si>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</si>
  <si>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</si>
  <si>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</si>
  <si>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</si>
  <si>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</si>
  <si>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</si>
  <si>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</si>
  <si>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</si>
  <si>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</si>
  <si>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</si>
  <si>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</si>
  <si>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</si>
  <si>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</si>
  <si>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</si>
  <si>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</si>
  <si>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</si>
  <si>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</si>
  <si>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</si>
  <si>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</si>
  <si>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</si>
  <si>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</si>
  <si>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</si>
  <si>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</si>
  <si>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</si>
  <si>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</si>
  <si>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</si>
  <si>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</si>
  <si>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</si>
  <si>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</si>
  <si>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</si>
  <si>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</si>
  <si>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</si>
  <si>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</si>
  <si>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</si>
  <si>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</si>
  <si>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</si>
  <si>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</si>
  <si>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</si>
  <si>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</si>
  <si>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</si>
  <si>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</si>
  <si>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</si>
  <si>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</si>
  <si>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</si>
  <si>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</si>
  <si>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</si>
  <si>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</si>
  <si>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</si>
  <si>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</si>
  <si>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</si>
  <si>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</si>
  <si>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</si>
  <si>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</si>
  <si>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</si>
  <si>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</si>
  <si>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</si>
  <si>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</si>
  <si>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</si>
  <si>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</si>
  <si>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</si>
  <si>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</si>
  <si>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</si>
  <si>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</si>
  <si>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</si>
  <si>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</si>
  <si>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</si>
  <si>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</si>
  <si>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</si>
  <si>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</si>
  <si>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</si>
  <si>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</si>
  <si>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</si>
  <si>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</si>
  <si>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</si>
  <si>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</si>
  <si>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</si>
  <si>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</si>
  <si>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</si>
  <si>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</si>
  <si>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</si>
  <si>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</si>
  <si>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</si>
  <si>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</si>
  <si>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</si>
  <si>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</si>
  <si>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</si>
  <si>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</si>
  <si>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</si>
  <si>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</si>
  <si>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</si>
  <si>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</si>
  <si>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</si>
  <si>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</si>
  <si>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</si>
  <si>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</si>
  <si>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</si>
  <si>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</si>
  <si>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</si>
  <si>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</si>
  <si>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</si>
  <si>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</si>
  <si>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</si>
  <si>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</si>
  <si>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</si>
  <si>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</si>
  <si>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</si>
  <si>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</si>
  <si>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</si>
  <si>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</si>
  <si>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</si>
  <si>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</si>
  <si>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</si>
  <si>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</si>
  <si>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</si>
  <si>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</si>
  <si>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</si>
  <si>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</si>
  <si>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</si>
  <si>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</si>
  <si>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</si>
  <si>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</si>
  <si>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</si>
  <si>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</si>
  <si>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</si>
  <si>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</si>
  <si>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</si>
  <si>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</si>
  <si>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</si>
  <si>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</si>
  <si>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</si>
  <si>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</si>
  <si>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</si>
  <si>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</si>
  <si>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</si>
  <si>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</si>
  <si>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</si>
  <si>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</si>
  <si>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</si>
  <si>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</si>
  <si>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</si>
  <si>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</si>
  <si>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</si>
  <si>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</si>
  <si>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</si>
  <si>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</si>
  <si>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</si>
  <si>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</si>
  <si>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</si>
  <si>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</si>
  <si>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</si>
  <si>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</si>
  <si>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</si>
  <si>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</si>
  <si>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</si>
  <si>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</si>
  <si>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</si>
  <si>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</si>
  <si>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</si>
  <si>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</si>
  <si>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</si>
  <si>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</si>
  <si>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</si>
  <si>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</si>
  <si>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</si>
  <si>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</si>
  <si>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</si>
  <si>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</si>
  <si>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</si>
  <si>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</si>
  <si>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</si>
  <si>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</si>
  <si>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</si>
  <si>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</si>
  <si>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</si>
  <si>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</si>
  <si>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</si>
  <si>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</si>
  <si>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</si>
  <si>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</si>
  <si>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</si>
  <si>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</si>
  <si>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</si>
  <si>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</si>
  <si>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</si>
  <si>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</si>
  <si>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</si>
  <si>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</si>
  <si>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</si>
  <si>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</si>
  <si>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</si>
  <si>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</si>
  <si>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</si>
  <si>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</si>
  <si>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</si>
  <si>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</si>
  <si>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</si>
  <si>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</si>
  <si>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</si>
  <si>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</si>
  <si>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</si>
  <si>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</si>
  <si>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</si>
  <si>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</si>
  <si>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</si>
  <si>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</si>
  <si>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</si>
  <si>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</si>
  <si>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</si>
  <si>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</si>
  <si>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</si>
  <si>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</si>
  <si>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</si>
  <si>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</si>
  <si>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</si>
  <si>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</si>
  <si>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</si>
  <si>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</si>
  <si>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</si>
  <si>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</si>
  <si>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</si>
  <si>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</si>
  <si>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</si>
  <si>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</si>
  <si>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</si>
  <si>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</si>
  <si>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</si>
  <si>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</si>
  <si>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</si>
  <si>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</si>
  <si>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</si>
  <si>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</si>
  <si>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</si>
  <si>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</si>
  <si>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31 มกราคม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</si>
</sst>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0_-;\-* #,##0.00_-;_-* &quot;-&quot;_-;_-@"/>
  </numFmts>
  <fonts count="74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19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49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1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3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4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5" fillId="2" borderId="11" xfId="0" applyFont="1" applyFill="1" applyBorder="1" applyAlignment="1"/>
    <xf numFmtId="187" fontId="56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8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59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0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1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3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4" fillId="2" borderId="10" xfId="0" applyFont="1" applyFill="1" applyBorder="1" applyAlignment="1"/>
    <xf numFmtId="0" fontId="9" fillId="2" borderId="10" xfId="0" applyFont="1" applyFill="1" applyBorder="1" applyAlignment="1"/>
    <xf numFmtId="0" fontId="65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1" fillId="2" borderId="10" xfId="0" applyFont="1" applyFill="1" applyBorder="1" applyAlignment="1"/>
    <xf numFmtId="0" fontId="4" fillId="0" borderId="5" xfId="0" applyFont="1" applyBorder="1" applyAlignment="1"/>
    <xf numFmtId="0" fontId="66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7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8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3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0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57" fillId="2" borderId="10" xfId="0" applyFont="1" applyFill="1" applyBorder="1" applyAlignment="1"/>
    <xf numFmtId="0" fontId="52" fillId="2" borderId="10" xfId="0" applyFont="1" applyFill="1" applyBorder="1" applyAlignment="1"/>
    <xf numFmtId="0" fontId="3" fillId="0" borderId="10" xfId="0" applyFont="1" applyBorder="1"/>
    <xf numFmtId="0" fontId="62" fillId="2" borderId="13" xfId="0" applyFont="1" applyFill="1" applyBorder="1" applyAlignment="1"/>
    <xf numFmtId="0" fontId="3" fillId="0" borderId="13" xfId="0" applyFont="1" applyBorder="1"/>
    <xf numFmtId="0" fontId="69" fillId="2" borderId="10" xfId="0" applyFont="1" applyFill="1" applyBorder="1" applyAlignment="1"/>
    <xf numFmtId="0" fontId="57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0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15" fillId="23" borderId="10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2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8" fontId="9" fillId="2" borderId="14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7" fillId="0" borderId="11" xfId="0" applyFont="1" applyBorder="1" applyAlignment="1"/>
    <xf numFmtId="187" fontId="8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2" fillId="21" borderId="10" xfId="0" applyNumberFormat="1" applyFont="1" applyFill="1" applyBorder="1" applyAlignment="1"/>
    <xf numFmtId="187" fontId="52" fillId="21" borderId="10" xfId="0" quotePrefix="1" applyNumberFormat="1" applyFont="1" applyFill="1" applyBorder="1" applyAlignment="1"/>
    <xf numFmtId="0" fontId="57" fillId="21" borderId="10" xfId="0" quotePrefix="1" applyFont="1" applyFill="1" applyBorder="1" applyAlignment="1"/>
    <xf numFmtId="0" fontId="52" fillId="21" borderId="10" xfId="0" quotePrefix="1" applyFont="1" applyFill="1" applyBorder="1" applyAlignment="1"/>
    <xf numFmtId="0" fontId="52" fillId="2" borderId="13" xfId="0" applyFont="1" applyFill="1" applyBorder="1" applyAlignment="1"/>
    <xf numFmtId="0" fontId="52" fillId="21" borderId="10" xfId="0" applyFont="1" applyFill="1" applyBorder="1" applyAlignment="1"/>
    <xf numFmtId="0" fontId="57" fillId="21" borderId="10" xfId="0" applyFont="1" applyFill="1" applyBorder="1" applyAlignment="1"/>
    <xf numFmtId="0" fontId="58" fillId="2" borderId="10" xfId="0" applyFont="1" applyFill="1" applyBorder="1" applyAlignment="1"/>
    <xf numFmtId="187" fontId="57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9" fontId="4" fillId="26" borderId="11" xfId="0" applyNumberFormat="1" applyFont="1" applyFill="1" applyBorder="1" applyAlignment="1"/>
    <xf numFmtId="189" fontId="4" fillId="38" borderId="11" xfId="0" applyNumberFormat="1" applyFont="1" applyFill="1" applyBorder="1" applyAlignment="1"/>
    <xf numFmtId="0" fontId="6" fillId="41" borderId="27" xfId="0" applyFont="1" applyFill="1" applyBorder="1" applyAlignment="1"/>
    <xf numFmtId="0" fontId="4" fillId="41" borderId="28" xfId="0" applyFont="1" applyFill="1" applyBorder="1" applyAlignment="1"/>
    <xf numFmtId="187" fontId="4" fillId="41" borderId="28" xfId="0" applyNumberFormat="1" applyFont="1" applyFill="1" applyBorder="1" applyAlignment="1"/>
    <xf numFmtId="0" fontId="4" fillId="41" borderId="29" xfId="0" applyFont="1" applyFill="1" applyBorder="1" applyAlignment="1"/>
    <xf numFmtId="0" fontId="6" fillId="41" borderId="29" xfId="0" applyFont="1" applyFill="1" applyBorder="1" applyAlignment="1"/>
    <xf numFmtId="189" fontId="4" fillId="41" borderId="29" xfId="0" applyNumberFormat="1" applyFont="1" applyFill="1" applyBorder="1" applyAlignment="1"/>
    <xf numFmtId="188" fontId="4" fillId="41" borderId="29" xfId="0" applyNumberFormat="1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9" fontId="29" fillId="0" borderId="11" xfId="0" applyNumberFormat="1" applyFont="1" applyBorder="1" applyAlignment="1"/>
    <xf numFmtId="189" fontId="35" fillId="0" borderId="11" xfId="0" applyNumberFormat="1" applyFont="1" applyBorder="1" applyAlignment="1">
      <alignment horizontal="right"/>
    </xf>
    <xf numFmtId="188" fontId="29" fillId="2" borderId="11" xfId="0" applyNumberFormat="1" applyFont="1" applyFill="1" applyBorder="1" applyAlignment="1"/>
    <xf numFmtId="189" fontId="35" fillId="2" borderId="11" xfId="0" applyNumberFormat="1" applyFont="1" applyFill="1" applyBorder="1" applyAlignment="1">
      <alignment horizontal="right"/>
    </xf>
    <xf numFmtId="188" fontId="35" fillId="2" borderId="11" xfId="0" applyNumberFormat="1" applyFont="1" applyFill="1" applyBorder="1" applyAlignment="1">
      <alignment horizontal="right"/>
    </xf>
    <xf numFmtId="0" fontId="6" fillId="38" borderId="8" xfId="0" applyFont="1" applyFill="1" applyBorder="1" applyAlignment="1">
      <alignment horizontal="center"/>
    </xf>
    <xf numFmtId="192" fontId="4" fillId="2" borderId="11" xfId="0" applyNumberFormat="1" applyFont="1" applyFill="1" applyBorder="1" applyAlignment="1"/>
    <xf numFmtId="189" fontId="4" fillId="10" borderId="1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topLeftCell="E1" zoomScale="60" zoomScaleNormal="7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2" width="24.7109375" bestFit="1" customWidth="1"/>
    <col min="13" max="14" width="23" bestFit="1" customWidth="1"/>
    <col min="15" max="15" width="20.140625" bestFit="1" customWidth="1"/>
    <col min="16" max="16" width="22" bestFit="1" customWidth="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1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114680631</v>
      </c>
      <c r="M8" s="22">
        <f t="shared" ca="1" si="0"/>
        <v>49976340</v>
      </c>
      <c r="N8" s="22">
        <f t="shared" ca="1" si="0"/>
        <v>30277309.709999986</v>
      </c>
      <c r="O8" s="22">
        <f t="shared" ref="O8:O16" ca="1" si="1">IF(L8&gt;0,N8*100/L8,0)</f>
        <v>26.401415344497003</v>
      </c>
      <c r="P8" s="22">
        <f t="shared" ref="P8:P16" ca="1" si="2">IF(M8&gt;0,N8*100/M8,0)</f>
        <v>60.583287431612611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114680631</v>
      </c>
      <c r="M10" s="30">
        <f t="shared" ca="1" si="4"/>
        <v>49976340</v>
      </c>
      <c r="N10" s="30">
        <f t="shared" ca="1" si="4"/>
        <v>30277309.709999986</v>
      </c>
      <c r="O10" s="30">
        <f t="shared" ca="1" si="1"/>
        <v>26.401415344497003</v>
      </c>
      <c r="P10" s="30">
        <f t="shared" ca="1" si="2"/>
        <v>60.583287431612611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95794531</v>
      </c>
      <c r="M11" s="38">
        <f t="shared" ca="1" si="5"/>
        <v>31132144</v>
      </c>
      <c r="N11" s="38">
        <f t="shared" ca="1" si="5"/>
        <v>23792813.709999986</v>
      </c>
      <c r="O11" s="38">
        <f t="shared" ca="1" si="1"/>
        <v>24.837340359231977</v>
      </c>
      <c r="P11" s="38">
        <f t="shared" ca="1" si="2"/>
        <v>76.425233385789255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95794531</v>
      </c>
      <c r="M13" s="45">
        <f t="shared" ca="1" si="7"/>
        <v>31132144</v>
      </c>
      <c r="N13" s="45">
        <f t="shared" ca="1" si="7"/>
        <v>23792813.709999986</v>
      </c>
      <c r="O13" s="45">
        <f t="shared" ca="1" si="1"/>
        <v>24.837340359231977</v>
      </c>
      <c r="P13" s="45">
        <f t="shared" ca="1" si="2"/>
        <v>76.425233385789255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18844196</v>
      </c>
      <c r="N14" s="38">
        <f t="shared" ca="1" si="8"/>
        <v>6484496</v>
      </c>
      <c r="O14" s="38">
        <f t="shared" ca="1" si="1"/>
        <v>34.334754131345278</v>
      </c>
      <c r="P14" s="38">
        <f t="shared" ca="1" si="2"/>
        <v>34.411104618100978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18844196</v>
      </c>
      <c r="N16" s="52">
        <f t="shared" ca="1" si="10"/>
        <v>6484496</v>
      </c>
      <c r="O16" s="52">
        <f t="shared" ca="1" si="1"/>
        <v>34.334754131345278</v>
      </c>
      <c r="P16" s="52">
        <f t="shared" ca="1" si="2"/>
        <v>34.411104618100978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49976340</v>
      </c>
      <c r="N18" s="22">
        <f t="shared" ca="1" si="11"/>
        <v>24869213.929999989</v>
      </c>
      <c r="O18" s="22">
        <f t="shared" ref="O18:O26" ca="1" si="12">IF(L18&gt;0,N18*100/L18,0)</f>
        <v>31.326360644342248</v>
      </c>
      <c r="P18" s="22">
        <f t="shared" ref="P18:P26" ca="1" si="13">IF(M18&gt;0,N18*100/M18,0)</f>
        <v>49.761975226677244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49976340</v>
      </c>
      <c r="N20" s="30">
        <f t="shared" ca="1" si="15"/>
        <v>24869213.929999989</v>
      </c>
      <c r="O20" s="30">
        <f t="shared" ca="1" si="12"/>
        <v>31.326360644342248</v>
      </c>
      <c r="P20" s="30">
        <f t="shared" ca="1" si="13"/>
        <v>49.761975226677244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31132144</v>
      </c>
      <c r="N21" s="38">
        <f t="shared" ca="1" si="16"/>
        <v>18384717.929999989</v>
      </c>
      <c r="O21" s="38">
        <f t="shared" ca="1" si="12"/>
        <v>30.387261348903024</v>
      </c>
      <c r="P21" s="38">
        <f t="shared" ca="1" si="13"/>
        <v>59.053812451850369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31132144</v>
      </c>
      <c r="N23" s="45">
        <f t="shared" ca="1" si="18"/>
        <v>18384717.929999989</v>
      </c>
      <c r="O23" s="45">
        <f t="shared" ca="1" si="12"/>
        <v>30.387261348903024</v>
      </c>
      <c r="P23" s="45">
        <f t="shared" ca="1" si="13"/>
        <v>59.053812451850369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18844196</v>
      </c>
      <c r="N24" s="38">
        <f t="shared" ca="1" si="19"/>
        <v>6484496</v>
      </c>
      <c r="O24" s="38">
        <f t="shared" ca="1" si="12"/>
        <v>34.334754131345278</v>
      </c>
      <c r="P24" s="38">
        <f t="shared" ca="1" si="13"/>
        <v>34.411104618100978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18844196</v>
      </c>
      <c r="N26" s="52">
        <f t="shared" ca="1" si="21"/>
        <v>6484496</v>
      </c>
      <c r="O26" s="52">
        <f t="shared" ca="1" si="12"/>
        <v>34.334754131345278</v>
      </c>
      <c r="P26" s="52">
        <f t="shared" ca="1" si="13"/>
        <v>34.411104618100978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35293133</v>
      </c>
      <c r="M28" s="22">
        <f t="shared" si="22"/>
        <v>0</v>
      </c>
      <c r="N28" s="22">
        <f t="shared" ca="1" si="22"/>
        <v>5408095.7799999984</v>
      </c>
      <c r="O28" s="22">
        <f t="shared" ref="O28:O37" ca="1" si="23">IF(L28&gt;0,N28*100/L28,0)</f>
        <v>15.323365539692945</v>
      </c>
      <c r="P28" s="22">
        <f t="shared" ref="P28:P31" si="24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35293133</v>
      </c>
      <c r="M30" s="30">
        <f t="shared" si="26"/>
        <v>0</v>
      </c>
      <c r="N30" s="30">
        <f t="shared" ca="1" si="26"/>
        <v>5408095.7799999984</v>
      </c>
      <c r="O30" s="30">
        <f t="shared" ca="1" si="23"/>
        <v>15.323365539692945</v>
      </c>
      <c r="P30" s="30">
        <f t="shared" si="24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35293133</v>
      </c>
      <c r="M31" s="38">
        <f t="shared" si="27"/>
        <v>0</v>
      </c>
      <c r="N31" s="38">
        <f t="shared" ca="1" si="27"/>
        <v>5408095.7799999984</v>
      </c>
      <c r="O31" s="38">
        <f t="shared" ca="1" si="23"/>
        <v>15.323365539692945</v>
      </c>
      <c r="P31" s="38">
        <f t="shared" si="24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35293133</v>
      </c>
      <c r="M33" s="45">
        <f t="shared" si="29"/>
        <v>0</v>
      </c>
      <c r="N33" s="45">
        <f t="shared" ca="1" si="29"/>
        <v>5408095.7799999984</v>
      </c>
      <c r="O33" s="45">
        <f t="shared" ca="1" si="23"/>
        <v>15.323365539692945</v>
      </c>
      <c r="P33" s="45">
        <f t="shared" ref="P33:P37" si="30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48137040</v>
      </c>
      <c r="N37" s="59">
        <f ca="1">N41+N53+N66+N88+N119+N132+N149+N165+N181+N261+N277+N298+N315+N328+N345+N389+N402</f>
        <v>24869213.929999985</v>
      </c>
      <c r="O37" s="59">
        <f t="shared" ca="1" si="23"/>
        <v>31.326360644342245</v>
      </c>
      <c r="P37" s="59">
        <f t="shared" ca="1" si="30"/>
        <v>51.663363451512566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4761659</v>
      </c>
      <c r="N41" s="85">
        <f t="shared" ca="1" si="34"/>
        <v>3320362.18</v>
      </c>
      <c r="O41" s="85">
        <f t="shared" ref="O41:O45" ca="1" si="35">IF(L41&gt;0,N41*100/L41,0)</f>
        <v>36.074647905839797</v>
      </c>
      <c r="P41" s="85">
        <f t="shared" ref="P41:P49" ca="1" si="36">IF(M41&gt;0,N41*100/M41,0)</f>
        <v>69.731204607469792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4761659</v>
      </c>
      <c r="N43" s="92">
        <f t="shared" ca="1" si="38"/>
        <v>3320362.18</v>
      </c>
      <c r="O43" s="92">
        <f t="shared" ca="1" si="35"/>
        <v>36.074647905839797</v>
      </c>
      <c r="P43" s="92">
        <f t="shared" ca="1" si="36"/>
        <v>69.731204607469792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4761659</v>
      </c>
      <c r="N44" s="38">
        <f t="shared" ca="1" si="39"/>
        <v>3320362.18</v>
      </c>
      <c r="O44" s="38">
        <f t="shared" ca="1" si="35"/>
        <v>36.074647905839797</v>
      </c>
      <c r="P44" s="38">
        <f t="shared" ca="1" si="36"/>
        <v>69.731204607469792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"),4761659)</f>
        <v>4761659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"),3320362.18)</f>
        <v>3320362.18</v>
      </c>
      <c r="O46" s="45">
        <f ca="1">IF(M46&gt;0,N46*100/M46,0)</f>
        <v>69.731204607469792</v>
      </c>
      <c r="P46" s="45">
        <f t="shared" ca="1" si="36"/>
        <v>69.731204607469792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20307536</v>
      </c>
      <c r="N53" s="116">
        <f t="shared" ca="1" si="42"/>
        <v>6687852.7000000002</v>
      </c>
      <c r="O53" s="116">
        <f t="shared" ref="O53:O61" ca="1" si="43">IF(L53&gt;0,N53*100/L53,0)</f>
        <v>25.091554299949724</v>
      </c>
      <c r="P53" s="116">
        <f t="shared" ref="P53:P61" ca="1" si="44">IF(M53&gt;0,N53*100/M53,0)</f>
        <v>32.932861475661056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20307536</v>
      </c>
      <c r="N55" s="123">
        <f t="shared" ca="1" si="46"/>
        <v>6687852.7000000002</v>
      </c>
      <c r="O55" s="123">
        <f t="shared" ca="1" si="43"/>
        <v>25.091554299949724</v>
      </c>
      <c r="P55" s="123">
        <f t="shared" ca="1" si="44"/>
        <v>32.932861475661056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6498170</v>
      </c>
      <c r="N56" s="38">
        <f t="shared" ca="1" si="47"/>
        <v>4938486.7</v>
      </c>
      <c r="O56" s="38">
        <f t="shared" ca="1" si="43"/>
        <v>38.512424452745435</v>
      </c>
      <c r="P56" s="38">
        <f t="shared" ca="1" si="44"/>
        <v>75.998114853874242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"),6498170)</f>
        <v>6498170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"),4938486.7)</f>
        <v>4938486.7</v>
      </c>
      <c r="O58" s="45">
        <f t="shared" ca="1" si="43"/>
        <v>38.512424452745435</v>
      </c>
      <c r="P58" s="45">
        <f t="shared" ca="1" si="44"/>
        <v>75.998114853874242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13809366</v>
      </c>
      <c r="N59" s="38">
        <f t="shared" ca="1" si="48"/>
        <v>1749366</v>
      </c>
      <c r="O59" s="38">
        <f t="shared" ca="1" si="43"/>
        <v>12.648427049968548</v>
      </c>
      <c r="P59" s="38">
        <f t="shared" ca="1" si="44"/>
        <v>12.667967522911624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"),13809366)</f>
        <v>13809366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"),1749366)</f>
        <v>1749366</v>
      </c>
      <c r="O61" s="52">
        <f t="shared" ca="1" si="43"/>
        <v>12.648427049968548</v>
      </c>
      <c r="P61" s="52">
        <f t="shared" ca="1" si="44"/>
        <v>12.667967522911624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6</v>
      </c>
      <c r="K64" s="145">
        <f t="shared" ref="K64:K65" ca="1" si="50">IF(I64&gt;0,J64*100/I64,0)</f>
        <v>54.545454545454547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382</v>
      </c>
      <c r="K65" s="145">
        <f t="shared" ca="1" si="50"/>
        <v>83.588621444201308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3649700</v>
      </c>
      <c r="N66" s="155">
        <f t="shared" ca="1" si="52"/>
        <v>1681740.8199999901</v>
      </c>
      <c r="O66" s="155">
        <f t="shared" ref="O66:O74" ca="1" si="53">IF(L66&gt;0,N66*100/L66,0)</f>
        <v>22.529550411274418</v>
      </c>
      <c r="P66" s="155">
        <f t="shared" ref="P66:P74" ca="1" si="54">IF(M66&gt;0,N66*100/M66,0)</f>
        <v>46.078878263966629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3649700</v>
      </c>
      <c r="N68" s="45">
        <f t="shared" ca="1" si="56"/>
        <v>1681740.8199999901</v>
      </c>
      <c r="O68" s="45">
        <f t="shared" ca="1" si="53"/>
        <v>22.529550411274418</v>
      </c>
      <c r="P68" s="45">
        <f t="shared" ca="1" si="54"/>
        <v>46.078878263966629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3649700</v>
      </c>
      <c r="N69" s="38">
        <f t="shared" ca="1" si="57"/>
        <v>1681740.8199999901</v>
      </c>
      <c r="O69" s="38">
        <f t="shared" ca="1" si="53"/>
        <v>22.529550411274418</v>
      </c>
      <c r="P69" s="38">
        <f t="shared" ca="1" si="54"/>
        <v>46.078878263966629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"),3649700)</f>
        <v>3649700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"),1681740.81999999)</f>
        <v>1681740.8199999901</v>
      </c>
      <c r="O71" s="45">
        <f t="shared" ca="1" si="53"/>
        <v>22.529550411274418</v>
      </c>
      <c r="P71" s="45">
        <f t="shared" ca="1" si="54"/>
        <v>46.078878263966629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I77" ca="1" si="59">I78+I80+I82</f>
        <v>11</v>
      </c>
      <c r="J76" s="37">
        <f ca="1">J107+J80+J82</f>
        <v>6</v>
      </c>
      <c r="K76" s="163">
        <f t="shared" ref="K76:K77" ca="1" si="60">IF(I76&gt;0,J76*100/I76,0)</f>
        <v>54.545454545454547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ca="1" si="59"/>
        <v>457</v>
      </c>
      <c r="J77" s="37">
        <f ca="1">J79+J81+J83</f>
        <v>382</v>
      </c>
      <c r="K77" s="163">
        <f t="shared" ca="1" si="60"/>
        <v>83.588621444201308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"),1)</f>
        <v>1</v>
      </c>
      <c r="K78" s="163">
        <f ca="1">IF(I78&gt;0,J107*100/I78,0)</f>
        <v>25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1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1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1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"),1)</f>
        <v>1</v>
      </c>
      <c r="K82" s="163">
        <f t="shared" ca="1" si="61"/>
        <v>33.333333333333336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"),75)</f>
        <v>75</v>
      </c>
      <c r="K83" s="163">
        <f t="shared" ca="1" si="61"/>
        <v>50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"),0)</f>
        <v>0</v>
      </c>
      <c r="K84" s="163">
        <f t="shared" ca="1" si="61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975</v>
      </c>
      <c r="J86" s="144">
        <f t="shared" ca="1" si="62"/>
        <v>675</v>
      </c>
      <c r="K86" s="145">
        <f t="shared" ref="K86:K87" ca="1" si="63">IF(I86&gt;0,J86*100/I86,0)</f>
        <v>69.230769230769226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325</v>
      </c>
      <c r="J87" s="144">
        <f t="shared" ca="1" si="64"/>
        <v>280</v>
      </c>
      <c r="K87" s="145">
        <f t="shared" ca="1" si="63"/>
        <v>86.15384615384616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2616900</v>
      </c>
      <c r="M88" s="155">
        <f t="shared" ca="1" si="65"/>
        <v>1273900</v>
      </c>
      <c r="N88" s="155">
        <f t="shared" ca="1" si="65"/>
        <v>791588.61</v>
      </c>
      <c r="O88" s="155">
        <f t="shared" ref="O88:O96" ca="1" si="66">IF(L88&gt;0,N88*100/L88,0)</f>
        <v>30.249096641063854</v>
      </c>
      <c r="P88" s="155">
        <f t="shared" ref="P88:P96" ca="1" si="67">IF(M88&gt;0,N88*100/M88,0)</f>
        <v>62.138991286600202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2616900</v>
      </c>
      <c r="M90" s="45">
        <f t="shared" ca="1" si="69"/>
        <v>1273900</v>
      </c>
      <c r="N90" s="45">
        <f t="shared" ca="1" si="69"/>
        <v>791588.61</v>
      </c>
      <c r="O90" s="45">
        <f t="shared" ca="1" si="66"/>
        <v>30.249096641063854</v>
      </c>
      <c r="P90" s="45">
        <f t="shared" ca="1" si="67"/>
        <v>62.138991286600202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2616900</v>
      </c>
      <c r="M91" s="38">
        <f t="shared" ca="1" si="70"/>
        <v>1273900</v>
      </c>
      <c r="N91" s="38">
        <f t="shared" ca="1" si="70"/>
        <v>791588.61</v>
      </c>
      <c r="O91" s="38">
        <f t="shared" ca="1" si="66"/>
        <v>30.249096641063854</v>
      </c>
      <c r="P91" s="38">
        <f t="shared" ca="1" si="67"/>
        <v>62.138991286600202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"),1273900)</f>
        <v>1273900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"),791588.61)</f>
        <v>791588.61</v>
      </c>
      <c r="O93" s="45">
        <f t="shared" ca="1" si="66"/>
        <v>30.249096641063854</v>
      </c>
      <c r="P93" s="45">
        <f t="shared" ca="1" si="67"/>
        <v>62.138991286600202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675</v>
      </c>
      <c r="K98" s="38">
        <f t="shared" ref="K98:K100" ca="1" si="72">IF(I98&gt;0,J98*100/I98,0)</f>
        <v>69.230769230769226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280</v>
      </c>
      <c r="K99" s="38">
        <f t="shared" ca="1" si="72"/>
        <v>86.15384615384616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3</v>
      </c>
      <c r="K100" s="38">
        <f t="shared" ca="1" si="72"/>
        <v>10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"),675)</f>
        <v>675</v>
      </c>
      <c r="K102" s="38">
        <f t="shared" ref="K102:K104" ca="1" si="73">IF(I102&gt;0,J102*100/I102,0)</f>
        <v>69.230769230769226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"),240)</f>
        <v>240</v>
      </c>
      <c r="K103" s="38">
        <f t="shared" ca="1" si="73"/>
        <v>73.84615384615384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"),280)</f>
        <v>280</v>
      </c>
      <c r="K104" s="38">
        <f t="shared" ca="1" si="73"/>
        <v>86.15384615384616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"),1)</f>
        <v>1</v>
      </c>
      <c r="K106" s="38">
        <f t="shared" ref="K106:K107" ca="1" si="74">IF(I106&gt;0,J106*100/I106,0)</f>
        <v>7.1428571428571432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"),1)</f>
        <v>1</v>
      </c>
      <c r="K107" s="38">
        <f t="shared" ca="1" si="74"/>
        <v>7.1428571428571432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"),2)</f>
        <v>2</v>
      </c>
      <c r="K109" s="38">
        <f t="shared" ref="K109:K116" ca="1" si="75">IF(I109&gt;0,J109*100/I109,0)</f>
        <v>12.5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"),2)</f>
        <v>2</v>
      </c>
      <c r="K110" s="38">
        <f t="shared" ca="1" si="75"/>
        <v>12.5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0</v>
      </c>
      <c r="K111" s="195">
        <f t="shared" ca="1" si="75"/>
        <v>0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30</v>
      </c>
      <c r="J112" s="194">
        <f t="shared" ca="1" si="76"/>
        <v>0</v>
      </c>
      <c r="K112" s="195">
        <f t="shared" ca="1" si="75"/>
        <v>0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"),0)</f>
        <v>0</v>
      </c>
      <c r="K113" s="38">
        <f t="shared" ca="1" si="75"/>
        <v>0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"),0)</f>
        <v>0</v>
      </c>
      <c r="K114" s="38">
        <f t="shared" ca="1" si="75"/>
        <v>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"),0)</f>
        <v>0</v>
      </c>
      <c r="K116" s="38">
        <f t="shared" ca="1" si="75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"),5)</f>
        <v>5</v>
      </c>
      <c r="K118" s="145">
        <f ca="1">IF(I118&gt;0,J118*100/I118,0)</f>
        <v>50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2312300</v>
      </c>
      <c r="M119" s="155">
        <f t="shared" ca="1" si="77"/>
        <v>2312250</v>
      </c>
      <c r="N119" s="155">
        <f t="shared" ca="1" si="77"/>
        <v>2136550</v>
      </c>
      <c r="O119" s="155">
        <f t="shared" ref="O119:O127" ca="1" si="78">IF(L119&gt;0,N119*100/L119,0)</f>
        <v>92.399342645850453</v>
      </c>
      <c r="P119" s="155">
        <f t="shared" ref="P119:P127" ca="1" si="79">IF(M119&gt;0,N119*100/M119,0)</f>
        <v>92.401340685479511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2312300</v>
      </c>
      <c r="M121" s="45">
        <f t="shared" ca="1" si="81"/>
        <v>2312250</v>
      </c>
      <c r="N121" s="45">
        <f t="shared" ca="1" si="81"/>
        <v>2136550</v>
      </c>
      <c r="O121" s="45">
        <f t="shared" ca="1" si="78"/>
        <v>92.399342645850453</v>
      </c>
      <c r="P121" s="45">
        <f t="shared" ca="1" si="79"/>
        <v>92.401340685479511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2312300</v>
      </c>
      <c r="M125" s="38">
        <f t="shared" ca="1" si="83"/>
        <v>2312250</v>
      </c>
      <c r="N125" s="38">
        <f t="shared" ca="1" si="83"/>
        <v>2136550</v>
      </c>
      <c r="O125" s="38">
        <f t="shared" ca="1" si="78"/>
        <v>92.399342645850453</v>
      </c>
      <c r="P125" s="38">
        <f t="shared" ca="1" si="79"/>
        <v>92.401340685479511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"),2312250)</f>
        <v>2312250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8"/>
        <v>92.399342645850453</v>
      </c>
      <c r="P127" s="45">
        <f t="shared" ca="1" si="79"/>
        <v>92.401340685479511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12</v>
      </c>
      <c r="J130" s="144">
        <f t="shared" ca="1" si="84"/>
        <v>6</v>
      </c>
      <c r="K130" s="145">
        <f t="shared" ref="K130:K131" ca="1" si="85">IF(I130&gt;0,J130*100/I130,0)</f>
        <v>50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120</v>
      </c>
      <c r="J131" s="144">
        <f t="shared" ca="1" si="86"/>
        <v>0</v>
      </c>
      <c r="K131" s="145">
        <f t="shared" ca="1" si="85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2170260</v>
      </c>
      <c r="M132" s="155">
        <f t="shared" ca="1" si="87"/>
        <v>1773900</v>
      </c>
      <c r="N132" s="155">
        <f t="shared" ca="1" si="87"/>
        <v>1262244</v>
      </c>
      <c r="O132" s="155">
        <f t="shared" ref="O132:O140" ca="1" si="88">IF(L132&gt;0,N132*100/L132,0)</f>
        <v>58.160957673274169</v>
      </c>
      <c r="P132" s="155">
        <f t="shared" ref="P132:P140" ca="1" si="89">IF(M132&gt;0,N132*100/M132,0)</f>
        <v>71.156434973786574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2170260</v>
      </c>
      <c r="M134" s="45">
        <f t="shared" ca="1" si="91"/>
        <v>1773900</v>
      </c>
      <c r="N134" s="45">
        <f t="shared" ca="1" si="91"/>
        <v>1262244</v>
      </c>
      <c r="O134" s="45">
        <f t="shared" ca="1" si="88"/>
        <v>58.160957673274169</v>
      </c>
      <c r="P134" s="45">
        <f t="shared" ca="1" si="89"/>
        <v>71.156434973786574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934260</v>
      </c>
      <c r="M135" s="38">
        <f t="shared" ca="1" si="92"/>
        <v>542400</v>
      </c>
      <c r="N135" s="38">
        <f t="shared" ca="1" si="92"/>
        <v>154744</v>
      </c>
      <c r="O135" s="38">
        <f t="shared" ca="1" si="88"/>
        <v>16.56326932545544</v>
      </c>
      <c r="P135" s="38">
        <f t="shared" ca="1" si="89"/>
        <v>28.529498525073745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"),542400)</f>
        <v>542400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"),154744)</f>
        <v>154744</v>
      </c>
      <c r="O137" s="45">
        <f t="shared" ca="1" si="88"/>
        <v>16.56326932545544</v>
      </c>
      <c r="P137" s="45">
        <f t="shared" ca="1" si="89"/>
        <v>28.529498525073745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1236000</v>
      </c>
      <c r="M138" s="38">
        <f t="shared" ca="1" si="93"/>
        <v>1231500</v>
      </c>
      <c r="N138" s="38">
        <f t="shared" ca="1" si="93"/>
        <v>1107500</v>
      </c>
      <c r="O138" s="38">
        <f t="shared" ca="1" si="88"/>
        <v>89.603559870550157</v>
      </c>
      <c r="P138" s="38">
        <f t="shared" ca="1" si="89"/>
        <v>89.930978481526594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"),1231500)</f>
        <v>1231500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"),1107500)</f>
        <v>1107500</v>
      </c>
      <c r="O140" s="45">
        <f t="shared" ca="1" si="88"/>
        <v>89.603559870550157</v>
      </c>
      <c r="P140" s="45">
        <f t="shared" ca="1" si="89"/>
        <v>89.930978481526594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"),0)</f>
        <v>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IF(AND(J144&gt;=I144,J145&gt;=I145),J145,0)</f>
        <v>0</v>
      </c>
      <c r="K143" s="38">
        <f t="shared" ref="K143:K146" ca="1" si="94">IF(I143&gt;0,J143*100/I143,0)</f>
        <v>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"),1)</f>
        <v>1</v>
      </c>
      <c r="K144" s="38">
        <f t="shared" ca="1" si="94"/>
        <v>1.6666666666666667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"),0)</f>
        <v>0</v>
      </c>
      <c r="K145" s="38">
        <f t="shared" ca="1" si="94"/>
        <v>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"),6)</f>
        <v>6</v>
      </c>
      <c r="K146" s="38">
        <f t="shared" ca="1" si="94"/>
        <v>50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180</v>
      </c>
      <c r="J148" s="144">
        <f t="shared" ca="1" si="95"/>
        <v>140</v>
      </c>
      <c r="K148" s="145">
        <f ca="1">IF(I148&gt;0,J148*100/I148,0)</f>
        <v>77.777777777777771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90000</v>
      </c>
      <c r="M149" s="155">
        <f t="shared" ca="1" si="96"/>
        <v>306140</v>
      </c>
      <c r="N149" s="155">
        <f t="shared" ca="1" si="96"/>
        <v>77457.289999999994</v>
      </c>
      <c r="O149" s="155">
        <f t="shared" ref="O149:O157" ca="1" si="97">IF(L149&gt;0,N149*100/L149,0)</f>
        <v>86.063655555555542</v>
      </c>
      <c r="P149" s="155">
        <f t="shared" ref="P149:P157" ca="1" si="98">IF(M149&gt;0,N149*100/M149,0)</f>
        <v>25.301264127523353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90000</v>
      </c>
      <c r="M151" s="45">
        <f t="shared" ca="1" si="100"/>
        <v>306140</v>
      </c>
      <c r="N151" s="45">
        <f t="shared" ca="1" si="100"/>
        <v>77457.289999999994</v>
      </c>
      <c r="O151" s="45">
        <f t="shared" ca="1" si="97"/>
        <v>86.063655555555542</v>
      </c>
      <c r="P151" s="45">
        <f t="shared" ca="1" si="98"/>
        <v>25.301264127523353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90000</v>
      </c>
      <c r="M152" s="38">
        <f t="shared" ca="1" si="101"/>
        <v>306140</v>
      </c>
      <c r="N152" s="38">
        <f t="shared" ca="1" si="101"/>
        <v>77457.289999999994</v>
      </c>
      <c r="O152" s="38">
        <f t="shared" ca="1" si="97"/>
        <v>86.063655555555542</v>
      </c>
      <c r="P152" s="38">
        <f t="shared" ca="1" si="98"/>
        <v>25.301264127523353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"),77457.29)</f>
        <v>77457.289999999994</v>
      </c>
      <c r="O154" s="45">
        <f t="shared" ca="1" si="97"/>
        <v>86.063655555555542</v>
      </c>
      <c r="P154" s="45">
        <f t="shared" ca="1" si="98"/>
        <v>25.301264127523353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"),140)</f>
        <v>140</v>
      </c>
      <c r="K159" s="38">
        <f ca="1">IF(I159&gt;0,J159*100/I159,0)</f>
        <v>77.777777777777771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185</v>
      </c>
      <c r="J164" s="253">
        <f t="shared" ca="1" si="103"/>
        <v>141</v>
      </c>
      <c r="K164" s="254">
        <f ca="1">IF(I164&gt;0,J164*100/I164,0)</f>
        <v>76.21621621621621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372925</v>
      </c>
      <c r="M165" s="155">
        <f t="shared" ca="1" si="104"/>
        <v>372925</v>
      </c>
      <c r="N165" s="155">
        <f t="shared" ca="1" si="104"/>
        <v>293435</v>
      </c>
      <c r="O165" s="155">
        <f t="shared" ref="O165:O173" ca="1" si="105">IF(L165&gt;0,N165*100/L165,0)</f>
        <v>78.684722129114434</v>
      </c>
      <c r="P165" s="155">
        <f t="shared" ref="P165:P173" ca="1" si="106">IF(M165&gt;0,N165*100/M165,0)</f>
        <v>78.684722129114434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372925</v>
      </c>
      <c r="M167" s="45">
        <f t="shared" ca="1" si="108"/>
        <v>372925</v>
      </c>
      <c r="N167" s="45">
        <f t="shared" ca="1" si="108"/>
        <v>293435</v>
      </c>
      <c r="O167" s="45">
        <f t="shared" ca="1" si="105"/>
        <v>78.684722129114434</v>
      </c>
      <c r="P167" s="45">
        <f t="shared" ca="1" si="106"/>
        <v>78.684722129114434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372925</v>
      </c>
      <c r="M168" s="38">
        <f t="shared" ca="1" si="109"/>
        <v>372925</v>
      </c>
      <c r="N168" s="38">
        <f t="shared" ca="1" si="109"/>
        <v>293435</v>
      </c>
      <c r="O168" s="38">
        <f t="shared" ca="1" si="105"/>
        <v>78.684722129114434</v>
      </c>
      <c r="P168" s="38">
        <f t="shared" ca="1" si="106"/>
        <v>78.684722129114434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"),372925)</f>
        <v>372925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"),293435)</f>
        <v>293435</v>
      </c>
      <c r="O170" s="45">
        <f t="shared" ca="1" si="105"/>
        <v>78.684722129114434</v>
      </c>
      <c r="P170" s="45">
        <f t="shared" ca="1" si="106"/>
        <v>78.684722129114434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185</v>
      </c>
      <c r="J174" s="261">
        <f t="shared" ca="1" si="111"/>
        <v>141</v>
      </c>
      <c r="K174" s="262">
        <f ca="1">IF(I174&gt;0,J174*100/I174,0)</f>
        <v>76.21621621621621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"),141)</f>
        <v>141</v>
      </c>
      <c r="K176" s="163">
        <f ca="1">IF(I176&gt;0,J176*100/I176,0)</f>
        <v>76.21621621621621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360</v>
      </c>
      <c r="J180" s="253">
        <f t="shared" ca="1" si="112"/>
        <v>220</v>
      </c>
      <c r="K180" s="254">
        <f ca="1">IF(I180&gt;0,J180*100/I180,0)</f>
        <v>61.111111111111114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4729330</v>
      </c>
      <c r="M181" s="155">
        <f t="shared" ca="1" si="113"/>
        <v>2340980</v>
      </c>
      <c r="N181" s="155">
        <f t="shared" ca="1" si="113"/>
        <v>1311426.99</v>
      </c>
      <c r="O181" s="155">
        <f t="shared" ref="O181:O189" ca="1" si="114">IF(L181&gt;0,N181*100/L181,0)</f>
        <v>27.729657055016251</v>
      </c>
      <c r="P181" s="155">
        <f t="shared" ref="P181:P189" ca="1" si="115">IF(M181&gt;0,N181*100/M181,0)</f>
        <v>56.020426915223538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4729330</v>
      </c>
      <c r="M183" s="45">
        <f t="shared" ca="1" si="117"/>
        <v>2340980</v>
      </c>
      <c r="N183" s="45">
        <f t="shared" ca="1" si="117"/>
        <v>1311426.99</v>
      </c>
      <c r="O183" s="45">
        <f t="shared" ca="1" si="114"/>
        <v>27.729657055016251</v>
      </c>
      <c r="P183" s="45">
        <f t="shared" ca="1" si="115"/>
        <v>56.020426915223538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4729330</v>
      </c>
      <c r="M184" s="38">
        <f t="shared" ca="1" si="118"/>
        <v>2340980</v>
      </c>
      <c r="N184" s="38">
        <f t="shared" ca="1" si="118"/>
        <v>1311426.99</v>
      </c>
      <c r="O184" s="38">
        <f t="shared" ca="1" si="114"/>
        <v>27.729657055016251</v>
      </c>
      <c r="P184" s="38">
        <f t="shared" ca="1" si="115"/>
        <v>56.020426915223538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"),2340980)</f>
        <v>2340980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"),1311426.99)</f>
        <v>1311426.99</v>
      </c>
      <c r="O186" s="45">
        <f t="shared" ca="1" si="114"/>
        <v>27.729657055016251</v>
      </c>
      <c r="P186" s="45">
        <f t="shared" ca="1" si="115"/>
        <v>56.020426915223538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68</v>
      </c>
      <c r="J190" s="272">
        <f t="shared" ca="1" si="120"/>
        <v>17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"),6320)</f>
        <v>6320</v>
      </c>
      <c r="O191" s="155">
        <f ca="1">IF(L191&gt;0,N191*100/L191,0)</f>
        <v>6.1960784313725492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"),17)</f>
        <v>17</v>
      </c>
      <c r="K193" s="38">
        <f ca="1">IF(I193&gt;0,J193*100/I193,0)</f>
        <v>25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552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"),552)</f>
        <v>552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50</v>
      </c>
      <c r="J197" s="272">
        <f t="shared" ca="1" si="121"/>
        <v>17</v>
      </c>
      <c r="K197" s="273">
        <f ca="1">IF(I197&gt;0,J197*100/I197,0)</f>
        <v>34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141621</v>
      </c>
      <c r="O198" s="155">
        <f ca="1">IF(L198&gt;0,N198*100/L198,0)</f>
        <v>21.296390977443608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"),7195)</f>
        <v>7195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"),133516)</f>
        <v>133516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"),910)</f>
        <v>910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"),17)</f>
        <v>17</v>
      </c>
      <c r="K204" s="163">
        <f ca="1">IF(I204&gt;0,J204*100/I204,0)</f>
        <v>34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"),14)</f>
        <v>14</v>
      </c>
      <c r="K206" s="163">
        <f t="shared" ref="K206:K208" ca="1" si="122">IF(I206&gt;0,J206*100/I206,0)</f>
        <v>28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"),0)</f>
        <v>0</v>
      </c>
      <c r="K207" s="163">
        <f t="shared" ca="1" si="122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3">I215</f>
        <v>4</v>
      </c>
      <c r="J208" s="272">
        <f t="shared" ca="1" si="123"/>
        <v>0</v>
      </c>
      <c r="K208" s="273">
        <f t="shared" ca="1" si="122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"),0)</f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"),0)</f>
        <v>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"),0)</f>
        <v>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"),0)</f>
        <v>0</v>
      </c>
      <c r="K214" s="38">
        <f t="shared" ref="K214:K216" ca="1" si="124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"),0)</f>
        <v>0</v>
      </c>
      <c r="K215" s="38">
        <f t="shared" ca="1" si="124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5">I224</f>
        <v>1001000</v>
      </c>
      <c r="J216" s="272">
        <f t="shared" ca="1" si="125"/>
        <v>0</v>
      </c>
      <c r="K216" s="273">
        <f t="shared" ca="1" si="124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389300</v>
      </c>
      <c r="M217" s="155"/>
      <c r="N217" s="155">
        <f ca="1">N218+N219+N220</f>
        <v>17504</v>
      </c>
      <c r="O217" s="155">
        <f ca="1">IF(L217&gt;0,N217*100/L217,0)</f>
        <v>4.4962753660416128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"),0)</f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"),17504)</f>
        <v>17504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"),228000)</f>
        <v>228000</v>
      </c>
      <c r="K223" s="163">
        <f t="shared" ref="K223:K226" ca="1" si="126">IF(I223&gt;0,J223*100/I223,0)</f>
        <v>22.777222777222779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6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"),30)</f>
        <v>30</v>
      </c>
      <c r="K225" s="163">
        <f t="shared" ca="1" si="126"/>
        <v>75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7">I237+I248</f>
        <v>320</v>
      </c>
      <c r="J226" s="299">
        <f t="shared" ca="1" si="127"/>
        <v>190</v>
      </c>
      <c r="K226" s="300">
        <f t="shared" ca="1" si="126"/>
        <v>59.375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8">L238+L249</f>
        <v>1907530</v>
      </c>
      <c r="M227" s="311"/>
      <c r="N227" s="311">
        <f t="shared" ref="N227:N231" ca="1" si="129">N238+N249</f>
        <v>2172653.8199999901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8"/>
        <v>1098900</v>
      </c>
      <c r="M228" s="322"/>
      <c r="N228" s="322">
        <f t="shared" ca="1" si="129"/>
        <v>243013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8"/>
        <v>553630</v>
      </c>
      <c r="M229" s="322"/>
      <c r="N229" s="322">
        <f t="shared" ca="1" si="129"/>
        <v>247900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8"/>
        <v>85000</v>
      </c>
      <c r="M230" s="322"/>
      <c r="N230" s="322">
        <f t="shared" ca="1" si="129"/>
        <v>1681740.8199999901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8"/>
        <v>170000</v>
      </c>
      <c r="M231" s="322"/>
      <c r="N231" s="322">
        <f t="shared" ca="1" si="129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0">I244+I255</f>
        <v>320</v>
      </c>
      <c r="J233" s="326">
        <f t="shared" ca="1" si="130"/>
        <v>190</v>
      </c>
      <c r="K233" s="322">
        <f ca="1">IF(I233&gt;0,J233*100/I233,0)</f>
        <v>59.375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1">I246+I257</f>
        <v>120</v>
      </c>
      <c r="J235" s="326">
        <f t="shared" ca="1" si="131"/>
        <v>0</v>
      </c>
      <c r="K235" s="322">
        <f t="shared" ref="K235:K237" ca="1" si="132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3">I247+I258</f>
        <v>9</v>
      </c>
      <c r="J236" s="326">
        <f t="shared" ca="1" si="133"/>
        <v>0</v>
      </c>
      <c r="K236" s="322">
        <f t="shared" ca="1" si="132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4">I244</f>
        <v>280</v>
      </c>
      <c r="J237" s="272">
        <f t="shared" ca="1" si="134"/>
        <v>150</v>
      </c>
      <c r="K237" s="273">
        <f t="shared" ca="1" si="132"/>
        <v>53.571428571428569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407003</v>
      </c>
      <c r="O238" s="155">
        <f ca="1">IF(L238&gt;0,N238*100/L238,0)</f>
        <v>24.970581558717246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"),193473)</f>
        <v>193473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"),213530)</f>
        <v>213530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"),0)</f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"),0)</f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"),150)</f>
        <v>150</v>
      </c>
      <c r="K244" s="38">
        <f ca="1">IF(I244&gt;0,J244*100/I244,0)</f>
        <v>53.571428571428569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"),0)</f>
        <v>0</v>
      </c>
      <c r="K246" s="38">
        <f t="shared" ref="K246:K248" ca="1" si="135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"),0)</f>
        <v>0</v>
      </c>
      <c r="K247" s="38">
        <f t="shared" ca="1" si="135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6">I255</f>
        <v>40</v>
      </c>
      <c r="J248" s="272">
        <f t="shared" ca="1" si="136"/>
        <v>40</v>
      </c>
      <c r="K248" s="273">
        <f t="shared" ca="1" si="135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1765650.8199999901</v>
      </c>
      <c r="O249" s="155">
        <f ca="1">IF(L249&gt;0,N249*100/L249,0)</f>
        <v>636.04136167146623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"),49540)</f>
        <v>49540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"),34370)</f>
        <v>34370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"),1681740.81999999)</f>
        <v>1681740.8199999901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"),0)</f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7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"),0)</f>
        <v>0</v>
      </c>
      <c r="K258" s="38">
        <f t="shared" ca="1" si="137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8">I271</f>
        <v>396</v>
      </c>
      <c r="J260" s="253">
        <f t="shared" ca="1" si="138"/>
        <v>332</v>
      </c>
      <c r="K260" s="254">
        <f ca="1">IF(I260&gt;0,J260*100/I260,0)</f>
        <v>83.838383838383834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9">L262+L263</f>
        <v>1193200</v>
      </c>
      <c r="M261" s="155">
        <f t="shared" ca="1" si="139"/>
        <v>752200</v>
      </c>
      <c r="N261" s="155">
        <f t="shared" ca="1" si="139"/>
        <v>467994.51</v>
      </c>
      <c r="O261" s="155">
        <f t="shared" ref="O261:O269" ca="1" si="140">IF(L261&gt;0,N261*100/L261,0)</f>
        <v>39.221799363057322</v>
      </c>
      <c r="P261" s="155">
        <f t="shared" ref="P261:P269" ca="1" si="141">IF(M261&gt;0,N261*100/M261,0)</f>
        <v>62.216765487902151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2">L265+L268</f>
        <v>0</v>
      </c>
      <c r="M262" s="45">
        <f t="shared" si="142"/>
        <v>0</v>
      </c>
      <c r="N262" s="45">
        <f t="shared" si="142"/>
        <v>0</v>
      </c>
      <c r="O262" s="45">
        <f t="shared" si="140"/>
        <v>0</v>
      </c>
      <c r="P262" s="45">
        <f t="shared" si="141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3">L266+L269</f>
        <v>1193200</v>
      </c>
      <c r="M263" s="45">
        <f t="shared" ca="1" si="143"/>
        <v>752200</v>
      </c>
      <c r="N263" s="45">
        <f t="shared" ca="1" si="143"/>
        <v>467994.51</v>
      </c>
      <c r="O263" s="45">
        <f t="shared" ca="1" si="140"/>
        <v>39.221799363057322</v>
      </c>
      <c r="P263" s="45">
        <f t="shared" ca="1" si="141"/>
        <v>62.216765487902151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4">L265+L266</f>
        <v>1193200</v>
      </c>
      <c r="M264" s="38">
        <f t="shared" ca="1" si="144"/>
        <v>752200</v>
      </c>
      <c r="N264" s="38">
        <f t="shared" ca="1" si="144"/>
        <v>467994.51</v>
      </c>
      <c r="O264" s="38">
        <f t="shared" ca="1" si="140"/>
        <v>39.221799363057322</v>
      </c>
      <c r="P264" s="38">
        <f t="shared" ca="1" si="141"/>
        <v>62.216765487902151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0"/>
        <v>0</v>
      </c>
      <c r="P265" s="45">
        <f t="shared" si="141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"),752200)</f>
        <v>752200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"),467994.51)</f>
        <v>467994.51</v>
      </c>
      <c r="O266" s="45">
        <f t="shared" ca="1" si="140"/>
        <v>39.221799363057322</v>
      </c>
      <c r="P266" s="45">
        <f t="shared" ca="1" si="141"/>
        <v>62.216765487902151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5">L268+L269</f>
        <v>0</v>
      </c>
      <c r="M267" s="38">
        <f t="shared" ca="1" si="145"/>
        <v>0</v>
      </c>
      <c r="N267" s="38">
        <f t="shared" ca="1" si="145"/>
        <v>0</v>
      </c>
      <c r="O267" s="38">
        <f t="shared" ca="1" si="140"/>
        <v>0</v>
      </c>
      <c r="P267" s="38">
        <f t="shared" ca="1" si="141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0"/>
        <v>0</v>
      </c>
      <c r="P268" s="45">
        <f t="shared" si="141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0"/>
        <v>0</v>
      </c>
      <c r="P269" s="45">
        <f t="shared" ca="1" si="141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"),332)</f>
        <v>332</v>
      </c>
      <c r="K271" s="163">
        <f ca="1">IF(I271&gt;0,J271*100/I271,0)</f>
        <v>83.838383838383834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6">I288</f>
        <v>395</v>
      </c>
      <c r="J275" s="375">
        <f t="shared" ca="1" si="146"/>
        <v>0</v>
      </c>
      <c r="K275" s="376">
        <f t="shared" ref="K275:K276" ca="1" si="147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8">I287</f>
        <v>3950</v>
      </c>
      <c r="J276" s="375">
        <f t="shared" ca="1" si="148"/>
        <v>1300</v>
      </c>
      <c r="K276" s="376">
        <f t="shared" ca="1" si="147"/>
        <v>32.911392405063289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9">L278+L279</f>
        <v>2886050</v>
      </c>
      <c r="M277" s="155">
        <f t="shared" ca="1" si="149"/>
        <v>1440990</v>
      </c>
      <c r="N277" s="155">
        <f t="shared" ca="1" si="149"/>
        <v>726430.41999999899</v>
      </c>
      <c r="O277" s="155">
        <f t="shared" ref="O277:O285" ca="1" si="150">IF(L277&gt;0,N277*100/L277,0)</f>
        <v>25.170403146168603</v>
      </c>
      <c r="P277" s="155">
        <f t="shared" ref="P277:P285" ca="1" si="151">IF(M277&gt;0,N277*100/M277,0)</f>
        <v>50.411898764044089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2">L281+L284</f>
        <v>0</v>
      </c>
      <c r="M278" s="45">
        <f t="shared" si="152"/>
        <v>0</v>
      </c>
      <c r="N278" s="45">
        <f t="shared" si="152"/>
        <v>0</v>
      </c>
      <c r="O278" s="45">
        <f t="shared" si="150"/>
        <v>0</v>
      </c>
      <c r="P278" s="45">
        <f t="shared" si="151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3">L282+L285</f>
        <v>2886050</v>
      </c>
      <c r="M279" s="45">
        <f t="shared" ca="1" si="153"/>
        <v>1440990</v>
      </c>
      <c r="N279" s="45">
        <f t="shared" ca="1" si="153"/>
        <v>726430.41999999899</v>
      </c>
      <c r="O279" s="45">
        <f t="shared" ca="1" si="150"/>
        <v>25.170403146168603</v>
      </c>
      <c r="P279" s="45">
        <f t="shared" ca="1" si="151"/>
        <v>50.411898764044089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4">L281+L282</f>
        <v>2886050</v>
      </c>
      <c r="M280" s="38">
        <f t="shared" ca="1" si="154"/>
        <v>1440990</v>
      </c>
      <c r="N280" s="38">
        <f t="shared" ca="1" si="154"/>
        <v>726430.41999999899</v>
      </c>
      <c r="O280" s="38">
        <f t="shared" ca="1" si="150"/>
        <v>25.170403146168603</v>
      </c>
      <c r="P280" s="38">
        <f t="shared" ca="1" si="151"/>
        <v>50.411898764044089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0"/>
        <v>0</v>
      </c>
      <c r="P281" s="45">
        <f t="shared" si="151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"),1440990)</f>
        <v>1440990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"),726430.419999999)</f>
        <v>726430.41999999899</v>
      </c>
      <c r="O282" s="45">
        <f t="shared" ca="1" si="150"/>
        <v>25.170403146168603</v>
      </c>
      <c r="P282" s="45">
        <f t="shared" ca="1" si="151"/>
        <v>50.411898764044089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5">L284+L285</f>
        <v>0</v>
      </c>
      <c r="M283" s="38">
        <f t="shared" ca="1" si="155"/>
        <v>0</v>
      </c>
      <c r="N283" s="38">
        <f t="shared" ca="1" si="155"/>
        <v>0</v>
      </c>
      <c r="O283" s="38">
        <f t="shared" ca="1" si="150"/>
        <v>0</v>
      </c>
      <c r="P283" s="38">
        <f t="shared" ca="1" si="151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0"/>
        <v>0</v>
      </c>
      <c r="P284" s="45">
        <f t="shared" si="151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0"/>
        <v>0</v>
      </c>
      <c r="P285" s="45">
        <f t="shared" ca="1" si="151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"),1300)</f>
        <v>1300</v>
      </c>
      <c r="K287" s="163">
        <f t="shared" ref="K287:K288" ca="1" si="156">IF(I287&gt;0,J287*100/I287,0)</f>
        <v>32.911392405063289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IF(AND(J291&gt;=I288,J294&gt;=I288),J294,0)</f>
        <v>0</v>
      </c>
      <c r="K288" s="380">
        <f t="shared" ca="1" si="156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"),190)</f>
        <v>190</v>
      </c>
      <c r="K290" s="163">
        <f t="shared" ref="K290:K291" ca="1" si="157">IF(I290&gt;0,J290*100/I290,0)</f>
        <v>48.101265822784811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"),190)</f>
        <v>190</v>
      </c>
      <c r="K291" s="163">
        <f t="shared" ca="1" si="157"/>
        <v>48.101265822784811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"),20)</f>
        <v>20</v>
      </c>
      <c r="K293" s="163">
        <f t="shared" ref="K293:K294" ca="1" si="158">IF(I293&gt;0,J293*100/I293,0)</f>
        <v>5.0632911392405067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"),20)</f>
        <v>20</v>
      </c>
      <c r="K294" s="354">
        <f t="shared" ca="1" si="158"/>
        <v>5.0632911392405067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59">I309</f>
        <v>230</v>
      </c>
      <c r="J297" s="413">
        <f t="shared" ca="1" si="159"/>
        <v>145</v>
      </c>
      <c r="K297" s="414">
        <f ca="1">IF(I297&gt;0,J297*100/I297,0)</f>
        <v>63.043478260869563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0">L299+L300</f>
        <v>2230600</v>
      </c>
      <c r="M298" s="155">
        <f t="shared" ca="1" si="160"/>
        <v>1147880</v>
      </c>
      <c r="N298" s="155">
        <f t="shared" ca="1" si="160"/>
        <v>670962.99</v>
      </c>
      <c r="O298" s="155">
        <f t="shared" ref="O298:O306" ca="1" si="161">IF(L298&gt;0,N298*100/L298,0)</f>
        <v>30.079933201829103</v>
      </c>
      <c r="P298" s="155">
        <f t="shared" ref="P298:P306" ca="1" si="162">IF(M298&gt;0,N298*100/M298,0)</f>
        <v>58.45236348747256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3">L302+L305</f>
        <v>0</v>
      </c>
      <c r="M299" s="45">
        <f t="shared" si="163"/>
        <v>0</v>
      </c>
      <c r="N299" s="45">
        <f t="shared" si="163"/>
        <v>0</v>
      </c>
      <c r="O299" s="45">
        <f t="shared" si="161"/>
        <v>0</v>
      </c>
      <c r="P299" s="45">
        <f t="shared" si="162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4">L303+L306</f>
        <v>2230600</v>
      </c>
      <c r="M300" s="45">
        <f t="shared" ca="1" si="164"/>
        <v>1147880</v>
      </c>
      <c r="N300" s="45">
        <f t="shared" ca="1" si="164"/>
        <v>670962.99</v>
      </c>
      <c r="O300" s="45">
        <f t="shared" ca="1" si="161"/>
        <v>30.079933201829103</v>
      </c>
      <c r="P300" s="45">
        <f t="shared" ca="1" si="162"/>
        <v>58.45236348747256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5">L302+L303</f>
        <v>2230600</v>
      </c>
      <c r="M301" s="38">
        <f t="shared" ca="1" si="165"/>
        <v>1147880</v>
      </c>
      <c r="N301" s="38">
        <f t="shared" ca="1" si="165"/>
        <v>670962.99</v>
      </c>
      <c r="O301" s="38">
        <f t="shared" ca="1" si="161"/>
        <v>30.079933201829103</v>
      </c>
      <c r="P301" s="38">
        <f t="shared" ca="1" si="162"/>
        <v>58.45236348747256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1"/>
        <v>0</v>
      </c>
      <c r="P302" s="45">
        <f t="shared" si="162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"),1147880)</f>
        <v>1147880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"),670962.99)</f>
        <v>670962.99</v>
      </c>
      <c r="O303" s="45">
        <f t="shared" ca="1" si="161"/>
        <v>30.079933201829103</v>
      </c>
      <c r="P303" s="45">
        <f t="shared" ca="1" si="162"/>
        <v>58.45236348747256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6">L305+L306</f>
        <v>0</v>
      </c>
      <c r="M304" s="38">
        <f t="shared" ca="1" si="166"/>
        <v>0</v>
      </c>
      <c r="N304" s="38">
        <f t="shared" ca="1" si="166"/>
        <v>0</v>
      </c>
      <c r="O304" s="38">
        <f t="shared" ca="1" si="161"/>
        <v>0</v>
      </c>
      <c r="P304" s="38">
        <f t="shared" ca="1" si="162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1"/>
        <v>0</v>
      </c>
      <c r="P305" s="45">
        <f t="shared" si="162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1"/>
        <v>0</v>
      </c>
      <c r="P306" s="45">
        <f t="shared" ca="1" si="162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"),6)</f>
        <v>6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"),145)</f>
        <v>145</v>
      </c>
      <c r="K309" s="38">
        <f t="shared" ref="K309:K312" ca="1" si="167">IF(I309&gt;0,J309*100/I309,0)</f>
        <v>63.043478260869563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"),80)</f>
        <v>80</v>
      </c>
      <c r="K310" s="38">
        <f t="shared" ca="1" si="167"/>
        <v>34.782608695652172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"),0)</f>
        <v>0</v>
      </c>
      <c r="K311" s="38">
        <f t="shared" ca="1" si="167"/>
        <v>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"),14)</f>
        <v>14</v>
      </c>
      <c r="K312" s="38">
        <f t="shared" ca="1" si="167"/>
        <v>30.434782608695652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8">I325</f>
        <v>3</v>
      </c>
      <c r="J314" s="413">
        <f t="shared" ca="1" si="168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9">L316+L317</f>
        <v>459000</v>
      </c>
      <c r="M315" s="155">
        <f t="shared" ca="1" si="169"/>
        <v>216500</v>
      </c>
      <c r="N315" s="155">
        <f t="shared" ca="1" si="169"/>
        <v>112696</v>
      </c>
      <c r="O315" s="155">
        <f t="shared" ref="O315:O323" ca="1" si="170">IF(L315&gt;0,N315*100/L315,0)</f>
        <v>24.552505446623094</v>
      </c>
      <c r="P315" s="155">
        <f t="shared" ref="P315:P323" ca="1" si="171">IF(M315&gt;0,N315*100/M315,0)</f>
        <v>52.053579676674367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2">L319+L322</f>
        <v>0</v>
      </c>
      <c r="M316" s="45">
        <f t="shared" si="172"/>
        <v>0</v>
      </c>
      <c r="N316" s="45">
        <f t="shared" si="172"/>
        <v>0</v>
      </c>
      <c r="O316" s="45">
        <f t="shared" si="170"/>
        <v>0</v>
      </c>
      <c r="P316" s="45">
        <f t="shared" si="171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3">L320+L323</f>
        <v>459000</v>
      </c>
      <c r="M317" s="45">
        <f t="shared" ca="1" si="173"/>
        <v>216500</v>
      </c>
      <c r="N317" s="45">
        <f t="shared" ca="1" si="173"/>
        <v>112696</v>
      </c>
      <c r="O317" s="45">
        <f t="shared" ca="1" si="170"/>
        <v>24.552505446623094</v>
      </c>
      <c r="P317" s="45">
        <f t="shared" ca="1" si="171"/>
        <v>52.053579676674367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4">L319+L320</f>
        <v>459000</v>
      </c>
      <c r="M318" s="38">
        <f t="shared" ca="1" si="174"/>
        <v>216500</v>
      </c>
      <c r="N318" s="38">
        <f t="shared" ca="1" si="174"/>
        <v>112696</v>
      </c>
      <c r="O318" s="38">
        <f t="shared" ca="1" si="170"/>
        <v>24.552505446623094</v>
      </c>
      <c r="P318" s="38">
        <f t="shared" ca="1" si="171"/>
        <v>52.053579676674367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0"/>
        <v>0</v>
      </c>
      <c r="P319" s="45">
        <f t="shared" si="171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"),216500)</f>
        <v>216500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"),112696)</f>
        <v>112696</v>
      </c>
      <c r="O320" s="45">
        <f t="shared" ca="1" si="170"/>
        <v>24.552505446623094</v>
      </c>
      <c r="P320" s="45">
        <f t="shared" ca="1" si="171"/>
        <v>52.053579676674367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5">L322+L323</f>
        <v>0</v>
      </c>
      <c r="M321" s="38">
        <f t="shared" ca="1" si="175"/>
        <v>0</v>
      </c>
      <c r="N321" s="38">
        <f t="shared" ca="1" si="175"/>
        <v>0</v>
      </c>
      <c r="O321" s="38">
        <f t="shared" ca="1" si="170"/>
        <v>0</v>
      </c>
      <c r="P321" s="38">
        <f t="shared" ca="1" si="171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0"/>
        <v>0</v>
      </c>
      <c r="P322" s="45">
        <f t="shared" si="171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0"/>
        <v>0</v>
      </c>
      <c r="P323" s="45">
        <f t="shared" ca="1" si="171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"),0)</f>
        <v>0</v>
      </c>
      <c r="K325" s="38">
        <f ca="1">IF(I325&gt;0,J325*100/I325,0)</f>
        <v>0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28763</v>
      </c>
      <c r="K327" s="414">
        <f ca="1">IF(I327&gt;0,J327*100/I327,0)</f>
        <v>61.328358208955223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6">L329+L330</f>
        <v>3678600</v>
      </c>
      <c r="M328" s="155">
        <f t="shared" ca="1" si="176"/>
        <v>1839300</v>
      </c>
      <c r="N328" s="155">
        <f t="shared" ca="1" si="176"/>
        <v>865205.15</v>
      </c>
      <c r="O328" s="155">
        <f t="shared" ref="O328:O336" ca="1" si="177">IF(L328&gt;0,N328*100/L328,0)</f>
        <v>23.51995732071984</v>
      </c>
      <c r="P328" s="155">
        <f t="shared" ref="P328:P336" ca="1" si="178">IF(M328&gt;0,N328*100/M328,0)</f>
        <v>47.03991464143968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9">L332+L335</f>
        <v>0</v>
      </c>
      <c r="M329" s="45">
        <f t="shared" si="179"/>
        <v>0</v>
      </c>
      <c r="N329" s="45">
        <f t="shared" si="179"/>
        <v>0</v>
      </c>
      <c r="O329" s="45">
        <f t="shared" si="177"/>
        <v>0</v>
      </c>
      <c r="P329" s="45">
        <f t="shared" si="178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0">L333+L336</f>
        <v>3678600</v>
      </c>
      <c r="M330" s="45">
        <f t="shared" ca="1" si="180"/>
        <v>1839300</v>
      </c>
      <c r="N330" s="45">
        <f t="shared" ca="1" si="180"/>
        <v>865205.15</v>
      </c>
      <c r="O330" s="45">
        <f t="shared" ca="1" si="177"/>
        <v>23.51995732071984</v>
      </c>
      <c r="P330" s="45">
        <f t="shared" ca="1" si="178"/>
        <v>47.03991464143968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1">L332+L333</f>
        <v>3678600</v>
      </c>
      <c r="M331" s="38">
        <f t="shared" ca="1" si="181"/>
        <v>1839300</v>
      </c>
      <c r="N331" s="38">
        <f t="shared" ca="1" si="181"/>
        <v>865205.15</v>
      </c>
      <c r="O331" s="38">
        <f t="shared" ca="1" si="177"/>
        <v>23.51995732071984</v>
      </c>
      <c r="P331" s="38">
        <f t="shared" ca="1" si="178"/>
        <v>47.03991464143968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7"/>
        <v>0</v>
      </c>
      <c r="P332" s="45">
        <f t="shared" si="178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"),1839300)</f>
        <v>1839300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"),865205.15)</f>
        <v>865205.15</v>
      </c>
      <c r="O333" s="45">
        <f t="shared" ca="1" si="177"/>
        <v>23.51995732071984</v>
      </c>
      <c r="P333" s="45">
        <f t="shared" ca="1" si="178"/>
        <v>47.03991464143968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2">L335+L336</f>
        <v>0</v>
      </c>
      <c r="M334" s="38">
        <f t="shared" ca="1" si="182"/>
        <v>0</v>
      </c>
      <c r="N334" s="38">
        <f t="shared" ca="1" si="182"/>
        <v>0</v>
      </c>
      <c r="O334" s="38">
        <f t="shared" ca="1" si="177"/>
        <v>0</v>
      </c>
      <c r="P334" s="38">
        <f t="shared" ca="1" si="178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7"/>
        <v>0</v>
      </c>
      <c r="P335" s="45">
        <f t="shared" si="178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"),0)</f>
        <v>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7"/>
        <v>0</v>
      </c>
      <c r="P336" s="45">
        <f t="shared" ca="1" si="178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"),25399)</f>
        <v>25399</v>
      </c>
      <c r="K338" s="38">
        <f ca="1">IF(I338&gt;0,J338*100/I338,0)</f>
        <v>54.155650319829427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"),39)</f>
        <v>39</v>
      </c>
      <c r="K340" s="38">
        <f ca="1">IF(I340&gt;0,J340*100/I340,0)</f>
        <v>36.44859813084112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"),2669)</f>
        <v>2669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"),10)</f>
        <v>10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"),685)</f>
        <v>685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3">L346+L347</f>
        <v>13325790</v>
      </c>
      <c r="M345" s="155">
        <f t="shared" ca="1" si="183"/>
        <v>7480480</v>
      </c>
      <c r="N345" s="155">
        <f t="shared" ca="1" si="183"/>
        <v>4463267.2699999996</v>
      </c>
      <c r="O345" s="155">
        <f t="shared" ref="O345:O353" ca="1" si="184">IF(L345&gt;0,N345*100/L345,0)</f>
        <v>33.493453446287234</v>
      </c>
      <c r="P345" s="155">
        <f t="shared" ref="P345:P353" ca="1" si="185">IF(M345&gt;0,N345*100/M345,0)</f>
        <v>59.665519726006877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6">L349+L352</f>
        <v>0</v>
      </c>
      <c r="M346" s="45">
        <f t="shared" si="186"/>
        <v>0</v>
      </c>
      <c r="N346" s="45">
        <f t="shared" si="186"/>
        <v>0</v>
      </c>
      <c r="O346" s="45">
        <f t="shared" si="184"/>
        <v>0</v>
      </c>
      <c r="P346" s="45">
        <f t="shared" si="185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7">L350+L353</f>
        <v>13325790</v>
      </c>
      <c r="M347" s="45">
        <f t="shared" ca="1" si="187"/>
        <v>7480480</v>
      </c>
      <c r="N347" s="45">
        <f t="shared" ca="1" si="187"/>
        <v>4463267.2699999996</v>
      </c>
      <c r="O347" s="45">
        <f t="shared" ca="1" si="184"/>
        <v>33.493453446287234</v>
      </c>
      <c r="P347" s="45">
        <f t="shared" ca="1" si="185"/>
        <v>59.665519726006877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8">L349+L350</f>
        <v>11818690</v>
      </c>
      <c r="M348" s="38">
        <f t="shared" ca="1" si="188"/>
        <v>5989400</v>
      </c>
      <c r="N348" s="38">
        <f t="shared" ca="1" si="188"/>
        <v>2972187.27</v>
      </c>
      <c r="O348" s="38">
        <f t="shared" ca="1" si="184"/>
        <v>25.148195527592314</v>
      </c>
      <c r="P348" s="38">
        <f t="shared" ca="1" si="185"/>
        <v>49.624123785354122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4"/>
        <v>0</v>
      </c>
      <c r="P349" s="45">
        <f t="shared" si="185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"),5989400)</f>
        <v>5989400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"),2972187.27)</f>
        <v>2972187.27</v>
      </c>
      <c r="O350" s="45">
        <f t="shared" ca="1" si="184"/>
        <v>25.148195527592314</v>
      </c>
      <c r="P350" s="45">
        <f t="shared" ca="1" si="185"/>
        <v>49.624123785354122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9">L352+L353</f>
        <v>1507100</v>
      </c>
      <c r="M351" s="38">
        <f t="shared" ca="1" si="189"/>
        <v>1491080</v>
      </c>
      <c r="N351" s="38">
        <f t="shared" ca="1" si="189"/>
        <v>1491080</v>
      </c>
      <c r="O351" s="38">
        <f t="shared" ca="1" si="184"/>
        <v>98.93703138477872</v>
      </c>
      <c r="P351" s="38">
        <f t="shared" ca="1" si="185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4"/>
        <v>0</v>
      </c>
      <c r="P352" s="45">
        <f t="shared" si="185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"),1491080)</f>
        <v>1491080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4"/>
        <v>98.93703138477872</v>
      </c>
      <c r="P353" s="45">
        <f t="shared" ca="1" si="185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3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"),4028)</f>
        <v>4028</v>
      </c>
      <c r="J355" s="433">
        <f ca="1">J362</f>
        <v>203</v>
      </c>
      <c r="K355" s="434">
        <f ca="1">IF(I355&gt;0,J355*100/I355,0)</f>
        <v>5.039721946375372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"),759)</f>
        <v>759</v>
      </c>
      <c r="K358" s="38">
        <f t="shared" ref="K358:K365" si="19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"),35800)</f>
        <v>35800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"),5526.59999999999)</f>
        <v>5526.5999999999904</v>
      </c>
      <c r="K359" s="38">
        <f t="shared" ca="1" si="190"/>
        <v>15.437430167597739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"),4028)</f>
        <v>4028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"),405)</f>
        <v>405</v>
      </c>
      <c r="K360" s="38">
        <f t="shared" ca="1" si="190"/>
        <v>10.054617676266137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"),3045.69999999999)</f>
        <v>3045.6999999999898</v>
      </c>
      <c r="K361" s="38">
        <f t="shared" si="19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"),4028)</f>
        <v>4028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"),203)</f>
        <v>203</v>
      </c>
      <c r="K362" s="38">
        <f t="shared" ca="1" si="190"/>
        <v>5.039721946375372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"),1524.19999999999)</f>
        <v>1524.19999999999</v>
      </c>
      <c r="K363" s="38">
        <f t="shared" si="190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91">I365+I374</f>
        <v>9438</v>
      </c>
      <c r="J364" s="447">
        <f t="shared" ca="1" si="191"/>
        <v>1347</v>
      </c>
      <c r="K364" s="448">
        <f t="shared" ca="1" si="190"/>
        <v>14.272091544818817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166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44</v>
      </c>
      <c r="K365" s="460">
        <f t="shared" ca="1" si="190"/>
        <v>3.2762472077438569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"),295)</f>
        <v>295</v>
      </c>
      <c r="K368" s="38">
        <f t="shared" ref="K368:K374" si="19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"),13540)</f>
        <v>13540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"),1961.89)</f>
        <v>1961.89</v>
      </c>
      <c r="K369" s="38">
        <f t="shared" ca="1" si="192"/>
        <v>14.489586410635155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"),127)</f>
        <v>127</v>
      </c>
      <c r="K370" s="38">
        <f t="shared" ca="1" si="192"/>
        <v>9.4564408041697696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"),1275.59999999999)</f>
        <v>1275.5999999999899</v>
      </c>
      <c r="K371" s="38">
        <f t="shared" si="19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"),44)</f>
        <v>44</v>
      </c>
      <c r="K372" s="38">
        <f t="shared" ca="1" si="192"/>
        <v>3.2762472077438569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"),662.55)</f>
        <v>662.55</v>
      </c>
      <c r="K373" s="38">
        <f t="shared" si="192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3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"),8095)</f>
        <v>8095</v>
      </c>
      <c r="J374" s="459">
        <f ca="1">J381</f>
        <v>1303</v>
      </c>
      <c r="K374" s="460">
        <f t="shared" ca="1" si="192"/>
        <v>16.096355775169858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"),464)</f>
        <v>464</v>
      </c>
      <c r="K377" s="466">
        <f t="shared" ref="K377:K382" si="19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"),22260)</f>
        <v>22260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"),3564.71)</f>
        <v>3564.71</v>
      </c>
      <c r="K378" s="466">
        <f t="shared" ca="1" si="193"/>
        <v>16.01397124887691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"),8095)</f>
        <v>8095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"),1501)</f>
        <v>1501</v>
      </c>
      <c r="K379" s="466">
        <f t="shared" ca="1" si="193"/>
        <v>18.542310067943173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"),17082.32)</f>
        <v>17082.32</v>
      </c>
      <c r="K380" s="466">
        <f t="shared" si="19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"),8095)</f>
        <v>8095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"),1303)</f>
        <v>1303</v>
      </c>
      <c r="K381" s="466">
        <f t="shared" ca="1" si="193"/>
        <v>16.096355775169858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"),15644.23)</f>
        <v>15644.23</v>
      </c>
      <c r="K382" s="466">
        <f t="shared" si="19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23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69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"),30)</f>
        <v>30</v>
      </c>
      <c r="K385" s="470">
        <f ca="1">IF(I385&gt;0,J385*100/I385,0)</f>
        <v>3.9473684210526314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ca="1" si="194">I400</f>
        <v>0</v>
      </c>
      <c r="J388" s="490">
        <f t="shared" ca="1" si="194"/>
        <v>0</v>
      </c>
      <c r="K388" s="491">
        <f ca="1"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5">L390+L391</f>
        <v>0</v>
      </c>
      <c r="M389" s="155">
        <f t="shared" ca="1" si="195"/>
        <v>0</v>
      </c>
      <c r="N389" s="155">
        <f t="shared" ca="1" si="195"/>
        <v>0</v>
      </c>
      <c r="O389" s="155">
        <f t="shared" ref="O389:O397" ca="1" si="196">IF(L389&gt;0,N389*100/L389,0)</f>
        <v>0</v>
      </c>
      <c r="P389" s="155">
        <f t="shared" ref="P389:P397" ca="1" si="19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8">L393+L396</f>
        <v>0</v>
      </c>
      <c r="M390" s="45">
        <f t="shared" si="198"/>
        <v>0</v>
      </c>
      <c r="N390" s="45">
        <f t="shared" si="198"/>
        <v>0</v>
      </c>
      <c r="O390" s="45">
        <f t="shared" si="196"/>
        <v>0</v>
      </c>
      <c r="P390" s="45">
        <f t="shared" si="19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9">L394+L397</f>
        <v>0</v>
      </c>
      <c r="M391" s="45">
        <f t="shared" ca="1" si="199"/>
        <v>0</v>
      </c>
      <c r="N391" s="45">
        <f t="shared" ca="1" si="199"/>
        <v>0</v>
      </c>
      <c r="O391" s="45">
        <f t="shared" ca="1" si="196"/>
        <v>0</v>
      </c>
      <c r="P391" s="45">
        <f t="shared" ca="1" si="19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0">L393+L394</f>
        <v>0</v>
      </c>
      <c r="M392" s="38">
        <f t="shared" ca="1" si="200"/>
        <v>0</v>
      </c>
      <c r="N392" s="38">
        <f t="shared" ca="1" si="200"/>
        <v>0</v>
      </c>
      <c r="O392" s="38">
        <f t="shared" ca="1" si="196"/>
        <v>0</v>
      </c>
      <c r="P392" s="38">
        <f t="shared" ca="1" si="19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6"/>
        <v>0</v>
      </c>
      <c r="P393" s="45">
        <f t="shared" si="19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6"/>
        <v>0</v>
      </c>
      <c r="P394" s="45">
        <f t="shared" ca="1" si="19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1">L396+L397</f>
        <v>0</v>
      </c>
      <c r="M395" s="38">
        <f t="shared" ca="1" si="201"/>
        <v>0</v>
      </c>
      <c r="N395" s="38">
        <f t="shared" ca="1" si="201"/>
        <v>0</v>
      </c>
      <c r="O395" s="38">
        <f t="shared" ca="1" si="196"/>
        <v>0</v>
      </c>
      <c r="P395" s="38">
        <f t="shared" ca="1" si="19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6"/>
        <v>0</v>
      </c>
      <c r="P396" s="45">
        <f t="shared" si="19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6"/>
        <v>0</v>
      </c>
      <c r="P397" s="45">
        <f t="shared" ca="1" si="19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2"/>
        <v>0</v>
      </c>
      <c r="L400" s="38"/>
      <c r="M400" s="38"/>
      <c r="N400" s="38"/>
      <c r="O400" s="38"/>
      <c r="P400" s="38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ca="1" si="203">I412</f>
        <v>0</v>
      </c>
      <c r="J401" s="490">
        <f t="shared" ca="1" si="203"/>
        <v>0</v>
      </c>
      <c r="K401" s="491">
        <f t="shared" ca="1" si="20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4">L403+L404</f>
        <v>0</v>
      </c>
      <c r="M402" s="155">
        <f t="shared" ca="1" si="204"/>
        <v>0</v>
      </c>
      <c r="N402" s="155">
        <f t="shared" ca="1" si="204"/>
        <v>0</v>
      </c>
      <c r="O402" s="155">
        <f t="shared" ref="O402:O410" ca="1" si="205">IF(L402&gt;0,N402*100/L402,0)</f>
        <v>0</v>
      </c>
      <c r="P402" s="155">
        <f t="shared" ref="P402:P410" ca="1" si="20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7">L406+L409</f>
        <v>0</v>
      </c>
      <c r="M403" s="45">
        <f t="shared" si="207"/>
        <v>0</v>
      </c>
      <c r="N403" s="45">
        <f t="shared" si="207"/>
        <v>0</v>
      </c>
      <c r="O403" s="45">
        <f t="shared" si="205"/>
        <v>0</v>
      </c>
      <c r="P403" s="45">
        <f t="shared" si="20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8">L407+L410</f>
        <v>0</v>
      </c>
      <c r="M404" s="45">
        <f t="shared" ca="1" si="208"/>
        <v>0</v>
      </c>
      <c r="N404" s="45">
        <f t="shared" ca="1" si="208"/>
        <v>0</v>
      </c>
      <c r="O404" s="45">
        <f t="shared" ca="1" si="205"/>
        <v>0</v>
      </c>
      <c r="P404" s="45">
        <f t="shared" ca="1" si="20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9">L406+L407</f>
        <v>0</v>
      </c>
      <c r="M405" s="38">
        <f t="shared" ca="1" si="209"/>
        <v>0</v>
      </c>
      <c r="N405" s="38">
        <f t="shared" ca="1" si="209"/>
        <v>0</v>
      </c>
      <c r="O405" s="38">
        <f t="shared" ca="1" si="205"/>
        <v>0</v>
      </c>
      <c r="P405" s="38">
        <f t="shared" ca="1" si="20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5"/>
        <v>0</v>
      </c>
      <c r="P406" s="45">
        <f t="shared" si="20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5"/>
        <v>0</v>
      </c>
      <c r="P407" s="45">
        <f t="shared" ca="1" si="20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0">L409+L410</f>
        <v>0</v>
      </c>
      <c r="M408" s="38">
        <f t="shared" ca="1" si="210"/>
        <v>0</v>
      </c>
      <c r="N408" s="38">
        <f t="shared" ca="1" si="210"/>
        <v>0</v>
      </c>
      <c r="O408" s="38">
        <f t="shared" ca="1" si="205"/>
        <v>0</v>
      </c>
      <c r="P408" s="38">
        <f t="shared" ca="1" si="20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5"/>
        <v>0</v>
      </c>
      <c r="P409" s="45">
        <f t="shared" si="20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5"/>
        <v>0</v>
      </c>
      <c r="P410" s="45">
        <f t="shared" ca="1" si="20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8" t="s">
        <v>38</v>
      </c>
      <c r="E411" s="499"/>
      <c r="F411" s="499"/>
      <c r="G411" s="500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177</v>
      </c>
      <c r="E412" s="178"/>
      <c r="F412" s="178"/>
      <c r="G412" s="179"/>
      <c r="H412" s="501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1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8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09">
        <f t="shared" ca="1" si="211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212">L419+L444+L467+L502+L523+L544+L629+L655+L685+L737+L754+L770+L786+L805</f>
        <v>35293133</v>
      </c>
      <c r="M414" s="517">
        <f t="shared" si="212"/>
        <v>0</v>
      </c>
      <c r="N414" s="517">
        <f t="shared" ca="1" si="212"/>
        <v>5408095.7799999984</v>
      </c>
      <c r="O414" s="517">
        <f ca="1">IF(L414&gt;0,N414*100/L414,0)</f>
        <v>15.323365539692945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8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7" ca="1" si="213">I433</f>
        <v>630</v>
      </c>
      <c r="J417" s="533">
        <f t="shared" ca="1" si="213"/>
        <v>190</v>
      </c>
      <c r="K417" s="534">
        <f t="shared" ref="K417:K418" ca="1" si="214">IF(I417&gt;0,J417*100/I417,0)</f>
        <v>30.158730158730158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ref="I418:J418" ca="1" si="215">I434</f>
        <v>24</v>
      </c>
      <c r="J418" s="533">
        <f t="shared" ca="1" si="215"/>
        <v>9</v>
      </c>
      <c r="K418" s="534">
        <f t="shared" ca="1" si="214"/>
        <v>37.5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11" t="s">
        <v>17</v>
      </c>
      <c r="E419" s="806"/>
      <c r="F419" s="806"/>
      <c r="G419" s="151"/>
      <c r="H419" s="275" t="s">
        <v>12</v>
      </c>
      <c r="I419" s="153"/>
      <c r="J419" s="153"/>
      <c r="K419" s="154"/>
      <c r="L419" s="155">
        <f t="shared" ref="L419:N419" ca="1" si="216">L420+L421</f>
        <v>2277950</v>
      </c>
      <c r="M419" s="155">
        <f t="shared" si="216"/>
        <v>0</v>
      </c>
      <c r="N419" s="155">
        <f t="shared" ca="1" si="216"/>
        <v>813924</v>
      </c>
      <c r="O419" s="155">
        <f t="shared" ref="O419:O424" ca="1" si="217">IF(L419&gt;0,N419*100/L419,0)</f>
        <v>35.730547202528591</v>
      </c>
      <c r="P419" s="155">
        <f t="shared" ref="P419:P424" si="218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9">L423+L430</f>
        <v>0</v>
      </c>
      <c r="M420" s="45">
        <f t="shared" si="219"/>
        <v>0</v>
      </c>
      <c r="N420" s="45">
        <f t="shared" si="219"/>
        <v>0</v>
      </c>
      <c r="O420" s="45">
        <f t="shared" si="217"/>
        <v>0</v>
      </c>
      <c r="P420" s="45">
        <f t="shared" si="218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0">L424+L431</f>
        <v>2277950</v>
      </c>
      <c r="M421" s="45">
        <f t="shared" si="220"/>
        <v>0</v>
      </c>
      <c r="N421" s="45">
        <f t="shared" ca="1" si="220"/>
        <v>813924</v>
      </c>
      <c r="O421" s="45">
        <f t="shared" ca="1" si="217"/>
        <v>35.730547202528591</v>
      </c>
      <c r="P421" s="45">
        <f t="shared" si="218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1">L423+L424</f>
        <v>2277950</v>
      </c>
      <c r="M422" s="38">
        <f t="shared" si="221"/>
        <v>0</v>
      </c>
      <c r="N422" s="38">
        <f t="shared" ca="1" si="221"/>
        <v>813924</v>
      </c>
      <c r="O422" s="38">
        <f t="shared" ca="1" si="217"/>
        <v>35.730547202528591</v>
      </c>
      <c r="P422" s="38">
        <f t="shared" si="218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7"/>
        <v>0</v>
      </c>
      <c r="P423" s="45">
        <f t="shared" si="218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3">
        <v>0</v>
      </c>
      <c r="N424" s="45">
        <f ca="1">N425+N426+N427+N428</f>
        <v>813924</v>
      </c>
      <c r="O424" s="45">
        <f t="shared" ca="1" si="217"/>
        <v>35.730547202528591</v>
      </c>
      <c r="P424" s="45">
        <f t="shared" si="218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540"/>
      <c r="D425" s="540"/>
      <c r="E425" s="540"/>
      <c r="F425" s="541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"),629383.5)</f>
        <v>629383.5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540"/>
      <c r="D426" s="540"/>
      <c r="E426" s="540"/>
      <c r="F426" s="541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"),0)</f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540"/>
      <c r="D427" s="540"/>
      <c r="E427" s="540"/>
      <c r="F427" s="541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"),184540.5)</f>
        <v>184540.5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2">L430+L431</f>
        <v>0</v>
      </c>
      <c r="M429" s="38">
        <f t="shared" si="222"/>
        <v>0</v>
      </c>
      <c r="N429" s="38">
        <f t="shared" si="222"/>
        <v>0</v>
      </c>
      <c r="O429" s="38">
        <f t="shared" ref="O429:O431" ca="1" si="223">IF(L429&gt;0,N429*100/L429,0)</f>
        <v>0</v>
      </c>
      <c r="P429" s="38">
        <f t="shared" ref="P429:P431" si="224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3"/>
        <v>0</v>
      </c>
      <c r="P430" s="45">
        <f t="shared" si="224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3"/>
        <v>0</v>
      </c>
      <c r="P431" s="45">
        <f t="shared" si="224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4" t="s">
        <v>38</v>
      </c>
      <c r="E432" s="545"/>
      <c r="F432" s="545"/>
      <c r="G432" s="546"/>
      <c r="H432" s="54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"),190)</f>
        <v>190</v>
      </c>
      <c r="K433" s="195">
        <f t="shared" ref="K433:K435" ca="1" si="225">IF(I433&gt;0,J433*100/I433,0)</f>
        <v>30.158730158730158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6">I438+I440</f>
        <v>24</v>
      </c>
      <c r="J434" s="194">
        <f t="shared" ca="1" si="226"/>
        <v>9</v>
      </c>
      <c r="K434" s="195">
        <f t="shared" ca="1" si="225"/>
        <v>37.5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48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49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"),290)</f>
        <v>290</v>
      </c>
      <c r="K435" s="466">
        <f t="shared" ca="1" si="225"/>
        <v>46.031746031746032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48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49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"),112)</f>
        <v>112</v>
      </c>
      <c r="K437" s="466">
        <f t="shared" ref="K437:K443" ca="1" si="227">IF(I437&gt;0,J437*100/I437,0)</f>
        <v>40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"),3)</f>
        <v>3</v>
      </c>
      <c r="K438" s="38">
        <f t="shared" ca="1" si="227"/>
        <v>42.857142857142854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48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49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"),130)</f>
        <v>130</v>
      </c>
      <c r="K439" s="466">
        <f t="shared" ca="1" si="227"/>
        <v>37.142857142857146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"),6)</f>
        <v>6</v>
      </c>
      <c r="K440" s="38">
        <f t="shared" ca="1" si="227"/>
        <v>35.294117647058826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7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228">I460</f>
        <v>860</v>
      </c>
      <c r="J442" s="555">
        <f t="shared" ca="1" si="228"/>
        <v>535</v>
      </c>
      <c r="K442" s="556">
        <f t="shared" ca="1" si="227"/>
        <v>62.209302325581397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229">I462</f>
        <v>2205</v>
      </c>
      <c r="J443" s="533">
        <f t="shared" ca="1" si="229"/>
        <v>925</v>
      </c>
      <c r="K443" s="534">
        <f t="shared" ca="1" si="227"/>
        <v>41.950113378684804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540"/>
      <c r="C444" s="540" t="s">
        <v>16</v>
      </c>
      <c r="D444" s="803" t="s">
        <v>17</v>
      </c>
      <c r="E444" s="804"/>
      <c r="F444" s="804"/>
      <c r="G444" s="189"/>
      <c r="H444" s="563" t="s">
        <v>12</v>
      </c>
      <c r="I444" s="37"/>
      <c r="J444" s="37"/>
      <c r="K444" s="38"/>
      <c r="L444" s="195">
        <f t="shared" ref="L444:N444" ca="1" si="230">L445+L446</f>
        <v>5795820</v>
      </c>
      <c r="M444" s="195">
        <f t="shared" si="230"/>
        <v>0</v>
      </c>
      <c r="N444" s="195">
        <f t="shared" ca="1" si="230"/>
        <v>1075930.1599999999</v>
      </c>
      <c r="O444" s="195">
        <f t="shared" ref="O444:O449" ca="1" si="231">IF(L444&gt;0,N444*100/L444,0)</f>
        <v>18.563898809831912</v>
      </c>
      <c r="P444" s="195">
        <f t="shared" ref="P444:P449" si="232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565"/>
      <c r="C445" s="565"/>
      <c r="D445" s="566"/>
      <c r="E445" s="567" t="s">
        <v>184</v>
      </c>
      <c r="F445" s="565"/>
      <c r="G445" s="568"/>
      <c r="H445" s="165" t="s">
        <v>12</v>
      </c>
      <c r="I445" s="44"/>
      <c r="J445" s="44"/>
      <c r="K445" s="45"/>
      <c r="L445" s="45">
        <f t="shared" ref="L445:N445" si="233">L448+L455</f>
        <v>0</v>
      </c>
      <c r="M445" s="45">
        <f t="shared" si="233"/>
        <v>0</v>
      </c>
      <c r="N445" s="45">
        <f t="shared" si="233"/>
        <v>0</v>
      </c>
      <c r="O445" s="45">
        <f t="shared" si="231"/>
        <v>0</v>
      </c>
      <c r="P445" s="45">
        <f t="shared" si="232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0"/>
      <c r="C446" s="565"/>
      <c r="D446" s="566"/>
      <c r="E446" s="567" t="s">
        <v>185</v>
      </c>
      <c r="F446" s="565"/>
      <c r="G446" s="568"/>
      <c r="H446" s="165" t="s">
        <v>12</v>
      </c>
      <c r="I446" s="44"/>
      <c r="J446" s="44"/>
      <c r="K446" s="45"/>
      <c r="L446" s="45">
        <f t="shared" ref="L446:N446" ca="1" si="234">L449+L456</f>
        <v>5795820</v>
      </c>
      <c r="M446" s="45">
        <f t="shared" si="234"/>
        <v>0</v>
      </c>
      <c r="N446" s="45">
        <f t="shared" ca="1" si="234"/>
        <v>1075930.1599999999</v>
      </c>
      <c r="O446" s="45">
        <f t="shared" ca="1" si="231"/>
        <v>18.563898809831912</v>
      </c>
      <c r="P446" s="45">
        <f t="shared" si="232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540"/>
      <c r="D447" s="571" t="s">
        <v>20</v>
      </c>
      <c r="E447" s="540"/>
      <c r="F447" s="540"/>
      <c r="G447" s="189"/>
      <c r="H447" s="161" t="s">
        <v>12</v>
      </c>
      <c r="I447" s="162"/>
      <c r="J447" s="162"/>
      <c r="K447" s="163"/>
      <c r="L447" s="38">
        <f t="shared" ref="L447:N447" ca="1" si="235">L448+L449</f>
        <v>5795820</v>
      </c>
      <c r="M447" s="38">
        <f t="shared" si="235"/>
        <v>0</v>
      </c>
      <c r="N447" s="38">
        <f t="shared" ca="1" si="235"/>
        <v>1075930.1599999999</v>
      </c>
      <c r="O447" s="38">
        <f t="shared" ca="1" si="231"/>
        <v>18.563898809831912</v>
      </c>
      <c r="P447" s="38">
        <f t="shared" si="232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0"/>
      <c r="C448" s="565"/>
      <c r="D448" s="566"/>
      <c r="E448" s="567" t="s">
        <v>184</v>
      </c>
      <c r="F448" s="565"/>
      <c r="G448" s="56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1"/>
        <v>0</v>
      </c>
      <c r="P448" s="45">
        <f t="shared" si="232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0"/>
      <c r="C449" s="565"/>
      <c r="D449" s="566"/>
      <c r="E449" s="567" t="s">
        <v>185</v>
      </c>
      <c r="F449" s="565"/>
      <c r="G449" s="568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"),5795820)</f>
        <v>5795820</v>
      </c>
      <c r="M449" s="93">
        <v>0</v>
      </c>
      <c r="N449" s="45">
        <f ca="1">N450+N451+N452+N453</f>
        <v>1075930.1599999999</v>
      </c>
      <c r="O449" s="45">
        <f t="shared" ca="1" si="231"/>
        <v>18.563898809831912</v>
      </c>
      <c r="P449" s="45">
        <f t="shared" si="232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540"/>
      <c r="D450" s="540"/>
      <c r="E450" s="540"/>
      <c r="F450" s="541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"),625523)</f>
        <v>625523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540"/>
      <c r="D451" s="540"/>
      <c r="E451" s="540"/>
      <c r="F451" s="541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"),0)</f>
        <v>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541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"),348813.66)</f>
        <v>348813.66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541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"),101593.5)</f>
        <v>101593.5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540"/>
      <c r="G454" s="189"/>
      <c r="H454" s="168" t="s">
        <v>12</v>
      </c>
      <c r="I454" s="162"/>
      <c r="J454" s="162"/>
      <c r="K454" s="163"/>
      <c r="L454" s="38">
        <f t="shared" ref="L454:N454" ca="1" si="236">L455+L456</f>
        <v>0</v>
      </c>
      <c r="M454" s="38">
        <f t="shared" si="236"/>
        <v>0</v>
      </c>
      <c r="N454" s="38">
        <f t="shared" si="236"/>
        <v>0</v>
      </c>
      <c r="O454" s="38">
        <f t="shared" ref="O454:O456" ca="1" si="237">IF(L454&gt;0,N454*100/L454,0)</f>
        <v>0</v>
      </c>
      <c r="P454" s="38">
        <f t="shared" ref="P454:P456" si="238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0"/>
      <c r="C455" s="570"/>
      <c r="D455" s="570"/>
      <c r="E455" s="572" t="s">
        <v>18</v>
      </c>
      <c r="F455" s="565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7"/>
        <v>0</v>
      </c>
      <c r="P455" s="45">
        <f t="shared" si="238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0"/>
      <c r="C456" s="570"/>
      <c r="D456" s="570"/>
      <c r="E456" s="572" t="s">
        <v>19</v>
      </c>
      <c r="F456" s="565"/>
      <c r="G456" s="56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7"/>
        <v>0</v>
      </c>
      <c r="P456" s="45">
        <f t="shared" si="238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74"/>
      <c r="C457" s="539" t="s">
        <v>16</v>
      </c>
      <c r="D457" s="575" t="s">
        <v>38</v>
      </c>
      <c r="E457" s="576"/>
      <c r="F457" s="577"/>
      <c r="G457" s="578"/>
      <c r="H457" s="175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0"/>
      <c r="C458" s="580"/>
      <c r="D458" s="581" t="s">
        <v>200</v>
      </c>
      <c r="E458" s="580"/>
      <c r="F458" s="566"/>
      <c r="G458" s="582"/>
      <c r="H458" s="583" t="s">
        <v>35</v>
      </c>
      <c r="I458" s="584">
        <v>0</v>
      </c>
      <c r="J458" s="58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0"/>
      <c r="C459" s="580"/>
      <c r="D459" s="581" t="s">
        <v>201</v>
      </c>
      <c r="E459" s="580"/>
      <c r="F459" s="566"/>
      <c r="G459" s="582"/>
      <c r="H459" s="583"/>
      <c r="I459" s="44"/>
      <c r="J459" s="44"/>
      <c r="K459" s="45"/>
      <c r="L459" s="45"/>
      <c r="M459" s="45"/>
      <c r="N459" s="45"/>
      <c r="O459" s="45"/>
      <c r="P459" s="45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74"/>
      <c r="C460" s="574"/>
      <c r="D460" s="585" t="s">
        <v>202</v>
      </c>
      <c r="E460" s="574"/>
      <c r="F460" s="586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"),535)</f>
        <v>535</v>
      </c>
      <c r="K460" s="38">
        <f ca="1">IF(I460&gt;0,J460*100/I460,0)</f>
        <v>62.209302325581397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74"/>
      <c r="C461" s="574"/>
      <c r="D461" s="585" t="s">
        <v>203</v>
      </c>
      <c r="E461" s="586"/>
      <c r="F461" s="586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74"/>
      <c r="C462" s="574"/>
      <c r="D462" s="585" t="s">
        <v>204</v>
      </c>
      <c r="E462" s="586"/>
      <c r="F462" s="586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"),925)</f>
        <v>925</v>
      </c>
      <c r="K462" s="38">
        <f ca="1">IF(I462&gt;0,J462*100/I462,0)</f>
        <v>41.950113378684804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74"/>
      <c r="C463" s="574"/>
      <c r="D463" s="585" t="s">
        <v>59</v>
      </c>
      <c r="E463" s="586"/>
      <c r="F463" s="540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"),0)</f>
        <v>0</v>
      </c>
      <c r="K463" s="38"/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74"/>
      <c r="C464" s="574"/>
      <c r="D464" s="574"/>
      <c r="E464" s="586"/>
      <c r="F464" s="586"/>
      <c r="G464" s="587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"),60)</f>
        <v>60</v>
      </c>
      <c r="K464" s="38"/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5">
        <f ca="1">J485+J489+J492</f>
        <v>714</v>
      </c>
      <c r="K465" s="556">
        <f t="shared" ref="K465:K466" ca="1" si="239">IF(I465&gt;0,J465*100/I465,0)</f>
        <v>53.805576488319517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3">
        <f ca="1">J495+J498</f>
        <v>50</v>
      </c>
      <c r="K466" s="534">
        <f t="shared" ca="1" si="239"/>
        <v>0.38167938931297712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540"/>
      <c r="C467" s="540" t="s">
        <v>16</v>
      </c>
      <c r="D467" s="803" t="s">
        <v>17</v>
      </c>
      <c r="E467" s="804"/>
      <c r="F467" s="804"/>
      <c r="G467" s="189"/>
      <c r="H467" s="563" t="s">
        <v>12</v>
      </c>
      <c r="I467" s="37"/>
      <c r="J467" s="37"/>
      <c r="K467" s="38"/>
      <c r="L467" s="195">
        <f t="shared" ref="L467:N467" ca="1" si="240">L468+L469</f>
        <v>11550678</v>
      </c>
      <c r="M467" s="195">
        <f t="shared" si="240"/>
        <v>0</v>
      </c>
      <c r="N467" s="195">
        <f t="shared" ca="1" si="240"/>
        <v>1067202.19</v>
      </c>
      <c r="O467" s="195">
        <f t="shared" ref="O467:O472" ca="1" si="241">IF(L467&gt;0,N467*100/L467,0)</f>
        <v>9.2393034417546751</v>
      </c>
      <c r="P467" s="195">
        <f t="shared" ref="P467:P472" si="242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565"/>
      <c r="C468" s="565"/>
      <c r="D468" s="566"/>
      <c r="E468" s="567" t="s">
        <v>184</v>
      </c>
      <c r="F468" s="565"/>
      <c r="G468" s="568"/>
      <c r="H468" s="165" t="s">
        <v>12</v>
      </c>
      <c r="I468" s="44"/>
      <c r="J468" s="44"/>
      <c r="K468" s="45"/>
      <c r="L468" s="45">
        <f t="shared" ref="L468:N468" si="243">L471+L478</f>
        <v>0</v>
      </c>
      <c r="M468" s="45">
        <f t="shared" si="243"/>
        <v>0</v>
      </c>
      <c r="N468" s="45">
        <f t="shared" si="243"/>
        <v>0</v>
      </c>
      <c r="O468" s="45">
        <f t="shared" si="241"/>
        <v>0</v>
      </c>
      <c r="P468" s="45">
        <f t="shared" si="242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0"/>
      <c r="C469" s="565"/>
      <c r="D469" s="566"/>
      <c r="E469" s="567" t="s">
        <v>185</v>
      </c>
      <c r="F469" s="565"/>
      <c r="G469" s="568"/>
      <c r="H469" s="165" t="s">
        <v>12</v>
      </c>
      <c r="I469" s="44"/>
      <c r="J469" s="44"/>
      <c r="K469" s="45"/>
      <c r="L469" s="45">
        <f t="shared" ref="L469:N469" ca="1" si="244">L472+L479</f>
        <v>11550678</v>
      </c>
      <c r="M469" s="45">
        <f t="shared" si="244"/>
        <v>0</v>
      </c>
      <c r="N469" s="45">
        <f t="shared" ca="1" si="244"/>
        <v>1067202.19</v>
      </c>
      <c r="O469" s="45">
        <f t="shared" ca="1" si="241"/>
        <v>9.2393034417546751</v>
      </c>
      <c r="P469" s="45">
        <f t="shared" si="242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540"/>
      <c r="D470" s="571" t="s">
        <v>20</v>
      </c>
      <c r="E470" s="540"/>
      <c r="F470" s="540"/>
      <c r="G470" s="189"/>
      <c r="H470" s="161" t="s">
        <v>12</v>
      </c>
      <c r="I470" s="162"/>
      <c r="J470" s="162"/>
      <c r="K470" s="163"/>
      <c r="L470" s="38">
        <f t="shared" ref="L470:N470" ca="1" si="245">L471+L472</f>
        <v>11550678</v>
      </c>
      <c r="M470" s="38">
        <f t="shared" si="245"/>
        <v>0</v>
      </c>
      <c r="N470" s="38">
        <f t="shared" ca="1" si="245"/>
        <v>1067202.19</v>
      </c>
      <c r="O470" s="38">
        <f t="shared" ca="1" si="241"/>
        <v>9.2393034417546751</v>
      </c>
      <c r="P470" s="38">
        <f t="shared" si="242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0"/>
      <c r="C471" s="565"/>
      <c r="D471" s="566"/>
      <c r="E471" s="567" t="s">
        <v>184</v>
      </c>
      <c r="F471" s="565"/>
      <c r="G471" s="56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1"/>
        <v>0</v>
      </c>
      <c r="P471" s="45">
        <f t="shared" si="242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0"/>
      <c r="C472" s="565"/>
      <c r="D472" s="566"/>
      <c r="E472" s="567" t="s">
        <v>185</v>
      </c>
      <c r="F472" s="565"/>
      <c r="G472" s="568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3">
        <v>0</v>
      </c>
      <c r="N472" s="45">
        <f ca="1">N473+N474+N475+N476</f>
        <v>1067202.19</v>
      </c>
      <c r="O472" s="45">
        <f t="shared" ca="1" si="241"/>
        <v>9.2393034417546751</v>
      </c>
      <c r="P472" s="45">
        <f t="shared" si="242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540"/>
      <c r="D473" s="540"/>
      <c r="E473" s="540"/>
      <c r="F473" s="541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"),665542)</f>
        <v>665542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540"/>
      <c r="D474" s="540"/>
      <c r="E474" s="540"/>
      <c r="F474" s="541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"),39000)</f>
        <v>39000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541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"),188059.69)</f>
        <v>188059.69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541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"),174600.5)</f>
        <v>174600.5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62"/>
      <c r="J477" s="162"/>
      <c r="K477" s="163"/>
      <c r="L477" s="38">
        <f t="shared" ref="L477:N477" ca="1" si="246">L478+L479</f>
        <v>0</v>
      </c>
      <c r="M477" s="38">
        <f t="shared" si="246"/>
        <v>0</v>
      </c>
      <c r="N477" s="38">
        <f t="shared" si="246"/>
        <v>0</v>
      </c>
      <c r="O477" s="38">
        <f t="shared" ref="O477:O479" ca="1" si="247">IF(L477&gt;0,N477*100/L477,0)</f>
        <v>0</v>
      </c>
      <c r="P477" s="38">
        <f t="shared" ref="P477:P479" si="248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0"/>
      <c r="C478" s="570"/>
      <c r="D478" s="570"/>
      <c r="E478" s="572" t="s">
        <v>18</v>
      </c>
      <c r="F478" s="570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7"/>
        <v>0</v>
      </c>
      <c r="P478" s="45">
        <f t="shared" si="248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0"/>
      <c r="C479" s="570"/>
      <c r="D479" s="570"/>
      <c r="E479" s="572" t="s">
        <v>19</v>
      </c>
      <c r="F479" s="570"/>
      <c r="G479" s="56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7"/>
        <v>0</v>
      </c>
      <c r="P479" s="45">
        <f t="shared" si="248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74"/>
      <c r="C480" s="539" t="s">
        <v>16</v>
      </c>
      <c r="D480" s="588" t="s">
        <v>38</v>
      </c>
      <c r="E480" s="576"/>
      <c r="F480" s="577"/>
      <c r="G480" s="578"/>
      <c r="H480" s="175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74"/>
      <c r="C481" s="574"/>
      <c r="D481" s="589" t="s">
        <v>206</v>
      </c>
      <c r="E481" s="574"/>
      <c r="F481" s="57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74"/>
      <c r="C482" s="574"/>
      <c r="D482" s="574"/>
      <c r="E482" s="585" t="s">
        <v>207</v>
      </c>
      <c r="F482" s="57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74"/>
      <c r="C483" s="574"/>
      <c r="D483" s="574"/>
      <c r="E483" s="574"/>
      <c r="F483" s="585" t="s">
        <v>208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"),6590)</f>
        <v>6590</v>
      </c>
      <c r="K483" s="38">
        <f ca="1">IF(I483&gt;0,J483*100/I483,0)</f>
        <v>55.894826123833759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74"/>
      <c r="C484" s="574"/>
      <c r="D484" s="574"/>
      <c r="E484" s="574"/>
      <c r="F484" s="585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"),530)</f>
        <v>530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74"/>
      <c r="C485" s="574"/>
      <c r="D485" s="574"/>
      <c r="E485" s="574"/>
      <c r="F485" s="585" t="s">
        <v>210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"),669)</f>
        <v>669</v>
      </c>
      <c r="K485" s="38">
        <f ca="1">IF(I485&gt;0,J485*100/I485,0)</f>
        <v>56.743002544529261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74"/>
      <c r="C486" s="574"/>
      <c r="D486" s="574"/>
      <c r="E486" s="585" t="s">
        <v>62</v>
      </c>
      <c r="F486" s="57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74"/>
      <c r="C487" s="574"/>
      <c r="D487" s="574"/>
      <c r="E487" s="574"/>
      <c r="F487" s="585" t="s">
        <v>208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"),370)</f>
        <v>370</v>
      </c>
      <c r="K487" s="38">
        <f ca="1">IF(I487&gt;0,J487*100/I487,0)</f>
        <v>28.244274809160306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74"/>
      <c r="C488" s="574"/>
      <c r="D488" s="574"/>
      <c r="E488" s="574"/>
      <c r="F488" s="585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"),36)</f>
        <v>36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74"/>
      <c r="C489" s="574"/>
      <c r="D489" s="574"/>
      <c r="E489" s="574"/>
      <c r="F489" s="585" t="s">
        <v>212</v>
      </c>
      <c r="G489" s="175"/>
      <c r="H489" s="590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"),37)</f>
        <v>37</v>
      </c>
      <c r="K489" s="38">
        <f ca="1">IF(I489&gt;0,J489*100/I489,0)</f>
        <v>28.244274809160306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74"/>
      <c r="C490" s="574"/>
      <c r="D490" s="574"/>
      <c r="E490" s="585" t="s">
        <v>63</v>
      </c>
      <c r="F490" s="591"/>
      <c r="G490" s="175"/>
      <c r="H490" s="590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74"/>
      <c r="C491" s="574"/>
      <c r="D491" s="574"/>
      <c r="E491" s="574"/>
      <c r="F491" s="585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"),4)</f>
        <v>4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74"/>
      <c r="C492" s="574"/>
      <c r="D492" s="574"/>
      <c r="E492" s="574"/>
      <c r="F492" s="585" t="s">
        <v>214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"),8)</f>
        <v>8</v>
      </c>
      <c r="K492" s="38">
        <f ca="1">IF(I492&gt;0,J492*100/I492,0)</f>
        <v>47.058823529411768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74"/>
      <c r="C493" s="574"/>
      <c r="D493" s="592" t="s">
        <v>59</v>
      </c>
      <c r="E493" s="574"/>
      <c r="F493" s="586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74"/>
      <c r="C494" s="574"/>
      <c r="D494" s="574"/>
      <c r="E494" s="585" t="s">
        <v>207</v>
      </c>
      <c r="F494" s="586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74"/>
      <c r="C495" s="574"/>
      <c r="D495" s="574"/>
      <c r="E495" s="574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74"/>
      <c r="C496" s="574"/>
      <c r="D496" s="574"/>
      <c r="E496" s="574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"),0)</f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74"/>
      <c r="C497" s="574"/>
      <c r="D497" s="574"/>
      <c r="E497" s="585" t="s">
        <v>62</v>
      </c>
      <c r="F497" s="586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74"/>
      <c r="C498" s="574"/>
      <c r="D498" s="574"/>
      <c r="E498" s="586"/>
      <c r="F498" s="593" t="s">
        <v>217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"),50)</f>
        <v>50</v>
      </c>
      <c r="K498" s="38">
        <f ca="1">IF(I498&gt;0,J498*100/I498,0)</f>
        <v>3.8167938931297711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74"/>
      <c r="C499" s="574"/>
      <c r="D499" s="574"/>
      <c r="E499" s="586"/>
      <c r="F499" s="593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"),5)</f>
        <v>5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49">J516</f>
        <v>0</v>
      </c>
      <c r="K500" s="601">
        <f t="shared" ref="K500:K501" si="250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4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49"/>
        <v>0</v>
      </c>
      <c r="K501" s="610">
        <f t="shared" si="250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565"/>
      <c r="C502" s="565" t="s">
        <v>16</v>
      </c>
      <c r="D502" s="808" t="s">
        <v>17</v>
      </c>
      <c r="E502" s="804"/>
      <c r="F502" s="804"/>
      <c r="G502" s="568"/>
      <c r="H502" s="612" t="s">
        <v>12</v>
      </c>
      <c r="I502" s="44"/>
      <c r="J502" s="44"/>
      <c r="K502" s="45"/>
      <c r="L502" s="613">
        <f t="shared" ref="L502:N502" si="251">L503+L504</f>
        <v>0</v>
      </c>
      <c r="M502" s="613">
        <f t="shared" si="251"/>
        <v>0</v>
      </c>
      <c r="N502" s="613">
        <f t="shared" si="251"/>
        <v>0</v>
      </c>
      <c r="O502" s="613">
        <f t="shared" ref="O502:O507" si="252">IF(L502&gt;0,N502*100/L502,0)</f>
        <v>0</v>
      </c>
      <c r="P502" s="613">
        <f t="shared" ref="P502:P507" si="253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565"/>
      <c r="C503" s="565"/>
      <c r="D503" s="566"/>
      <c r="E503" s="567" t="s">
        <v>184</v>
      </c>
      <c r="F503" s="565"/>
      <c r="G503" s="568"/>
      <c r="H503" s="165" t="s">
        <v>12</v>
      </c>
      <c r="I503" s="44"/>
      <c r="J503" s="44"/>
      <c r="K503" s="45"/>
      <c r="L503" s="45">
        <f t="shared" ref="L503:N503" si="254">L506+L513</f>
        <v>0</v>
      </c>
      <c r="M503" s="45">
        <f t="shared" si="254"/>
        <v>0</v>
      </c>
      <c r="N503" s="45">
        <f t="shared" si="254"/>
        <v>0</v>
      </c>
      <c r="O503" s="45">
        <f t="shared" si="252"/>
        <v>0</v>
      </c>
      <c r="P503" s="45">
        <f t="shared" si="253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0"/>
      <c r="C504" s="565"/>
      <c r="D504" s="566"/>
      <c r="E504" s="567" t="s">
        <v>185</v>
      </c>
      <c r="F504" s="565"/>
      <c r="G504" s="568"/>
      <c r="H504" s="165" t="s">
        <v>12</v>
      </c>
      <c r="I504" s="44"/>
      <c r="J504" s="44"/>
      <c r="K504" s="45"/>
      <c r="L504" s="45">
        <f t="shared" ref="L504:N504" si="255">L507+L514</f>
        <v>0</v>
      </c>
      <c r="M504" s="45">
        <f t="shared" si="255"/>
        <v>0</v>
      </c>
      <c r="N504" s="45">
        <f t="shared" si="255"/>
        <v>0</v>
      </c>
      <c r="O504" s="45">
        <f t="shared" si="252"/>
        <v>0</v>
      </c>
      <c r="P504" s="45">
        <f t="shared" si="253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0"/>
      <c r="C505" s="565"/>
      <c r="D505" s="614" t="s">
        <v>20</v>
      </c>
      <c r="E505" s="565"/>
      <c r="F505" s="565"/>
      <c r="G505" s="568"/>
      <c r="H505" s="165" t="s">
        <v>12</v>
      </c>
      <c r="I505" s="166"/>
      <c r="J505" s="166"/>
      <c r="K505" s="167"/>
      <c r="L505" s="45">
        <f t="shared" ref="L505:N505" si="256">L506+L507</f>
        <v>0</v>
      </c>
      <c r="M505" s="45">
        <f t="shared" si="256"/>
        <v>0</v>
      </c>
      <c r="N505" s="45">
        <f t="shared" si="256"/>
        <v>0</v>
      </c>
      <c r="O505" s="45">
        <f t="shared" si="252"/>
        <v>0</v>
      </c>
      <c r="P505" s="45">
        <f t="shared" si="253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0"/>
      <c r="C506" s="565"/>
      <c r="D506" s="566"/>
      <c r="E506" s="567" t="s">
        <v>184</v>
      </c>
      <c r="F506" s="565"/>
      <c r="G506" s="56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2"/>
        <v>0</v>
      </c>
      <c r="P506" s="45">
        <f t="shared" si="253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0"/>
      <c r="C507" s="565"/>
      <c r="D507" s="566"/>
      <c r="E507" s="567" t="s">
        <v>185</v>
      </c>
      <c r="F507" s="565"/>
      <c r="G507" s="56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2"/>
        <v>0</v>
      </c>
      <c r="P507" s="45">
        <f t="shared" si="253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0"/>
      <c r="C508" s="565"/>
      <c r="D508" s="565"/>
      <c r="E508" s="565"/>
      <c r="F508" s="567" t="s">
        <v>186</v>
      </c>
      <c r="G508" s="56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0"/>
      <c r="C509" s="565"/>
      <c r="D509" s="565"/>
      <c r="E509" s="565"/>
      <c r="F509" s="567" t="s">
        <v>187</v>
      </c>
      <c r="G509" s="56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0"/>
      <c r="C510" s="570"/>
      <c r="D510" s="570"/>
      <c r="E510" s="565"/>
      <c r="F510" s="567" t="s">
        <v>188</v>
      </c>
      <c r="G510" s="56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0"/>
      <c r="C511" s="570"/>
      <c r="D511" s="570"/>
      <c r="E511" s="565"/>
      <c r="F511" s="567" t="s">
        <v>189</v>
      </c>
      <c r="G511" s="56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0"/>
      <c r="C512" s="570"/>
      <c r="D512" s="614" t="s">
        <v>21</v>
      </c>
      <c r="E512" s="570"/>
      <c r="F512" s="565"/>
      <c r="G512" s="568"/>
      <c r="H512" s="169" t="s">
        <v>12</v>
      </c>
      <c r="I512" s="166"/>
      <c r="J512" s="166"/>
      <c r="K512" s="167"/>
      <c r="L512" s="45">
        <f t="shared" ref="L512:N512" si="257">L513+L514</f>
        <v>0</v>
      </c>
      <c r="M512" s="45">
        <f t="shared" si="257"/>
        <v>0</v>
      </c>
      <c r="N512" s="45">
        <f t="shared" si="257"/>
        <v>0</v>
      </c>
      <c r="O512" s="45">
        <f t="shared" ref="O512:O514" si="258">IF(L512&gt;0,N512*100/L512,0)</f>
        <v>0</v>
      </c>
      <c r="P512" s="45">
        <f t="shared" ref="P512:P514" si="259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0"/>
      <c r="C513" s="570"/>
      <c r="D513" s="570"/>
      <c r="E513" s="572" t="s">
        <v>18</v>
      </c>
      <c r="F513" s="565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8"/>
        <v>0</v>
      </c>
      <c r="P513" s="45">
        <f t="shared" si="259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0"/>
      <c r="C514" s="570"/>
      <c r="D514" s="565"/>
      <c r="E514" s="572" t="s">
        <v>19</v>
      </c>
      <c r="F514" s="565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8"/>
        <v>0</v>
      </c>
      <c r="P514" s="45">
        <f t="shared" si="259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0"/>
      <c r="C515" s="570" t="s">
        <v>16</v>
      </c>
      <c r="D515" s="616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0"/>
      <c r="C516" s="580"/>
      <c r="D516" s="581" t="s">
        <v>221</v>
      </c>
      <c r="E516" s="566"/>
      <c r="F516" s="566"/>
      <c r="G516" s="582"/>
      <c r="H516" s="619" t="s">
        <v>109</v>
      </c>
      <c r="I516" s="44"/>
      <c r="J516" s="584">
        <v>0</v>
      </c>
      <c r="K516" s="167">
        <f t="shared" ref="K516:K517" si="260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0"/>
      <c r="C517" s="580"/>
      <c r="D517" s="581" t="s">
        <v>222</v>
      </c>
      <c r="E517" s="566"/>
      <c r="F517" s="566"/>
      <c r="G517" s="582"/>
      <c r="H517" s="620" t="s">
        <v>35</v>
      </c>
      <c r="I517" s="621"/>
      <c r="J517" s="621">
        <f>J518+J519</f>
        <v>0</v>
      </c>
      <c r="K517" s="622">
        <f t="shared" si="260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0"/>
      <c r="C518" s="580"/>
      <c r="D518" s="580"/>
      <c r="E518" s="581" t="s">
        <v>223</v>
      </c>
      <c r="F518" s="566"/>
      <c r="G518" s="582"/>
      <c r="H518" s="583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0"/>
      <c r="C519" s="580"/>
      <c r="D519" s="580"/>
      <c r="E519" s="581" t="s">
        <v>224</v>
      </c>
      <c r="F519" s="566"/>
      <c r="G519" s="582"/>
      <c r="H519" s="619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42">
        <f t="shared" ref="I522:J522" ca="1" si="261">I537</f>
        <v>80</v>
      </c>
      <c r="J522" s="642">
        <f t="shared" ca="1" si="261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>
      <c r="A523" s="562"/>
      <c r="B523" s="540"/>
      <c r="C523" s="540" t="s">
        <v>16</v>
      </c>
      <c r="D523" s="803" t="s">
        <v>17</v>
      </c>
      <c r="E523" s="804"/>
      <c r="F523" s="804"/>
      <c r="G523" s="189"/>
      <c r="H523" s="563" t="s">
        <v>12</v>
      </c>
      <c r="I523" s="37"/>
      <c r="J523" s="37"/>
      <c r="K523" s="38"/>
      <c r="L523" s="195">
        <f t="shared" ref="L523:N523" ca="1" si="262">L524+L525</f>
        <v>652760</v>
      </c>
      <c r="M523" s="195">
        <f t="shared" si="262"/>
        <v>0</v>
      </c>
      <c r="N523" s="195">
        <f t="shared" ca="1" si="262"/>
        <v>125595</v>
      </c>
      <c r="O523" s="195">
        <f t="shared" ref="O523:O528" ca="1" si="263">IF(L523&gt;0,N523*100/L523,0)</f>
        <v>19.240609105950121</v>
      </c>
      <c r="P523" s="195">
        <f t="shared" ref="P523:P528" si="264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565"/>
      <c r="C524" s="565"/>
      <c r="D524" s="566"/>
      <c r="E524" s="567" t="s">
        <v>184</v>
      </c>
      <c r="F524" s="565"/>
      <c r="G524" s="568"/>
      <c r="H524" s="165" t="s">
        <v>12</v>
      </c>
      <c r="I524" s="44"/>
      <c r="J524" s="44"/>
      <c r="K524" s="45"/>
      <c r="L524" s="45">
        <f t="shared" ref="L524:N524" si="265">L527+L534</f>
        <v>0</v>
      </c>
      <c r="M524" s="45">
        <f t="shared" si="265"/>
        <v>0</v>
      </c>
      <c r="N524" s="45">
        <f t="shared" si="265"/>
        <v>0</v>
      </c>
      <c r="O524" s="45">
        <f t="shared" si="263"/>
        <v>0</v>
      </c>
      <c r="P524" s="45">
        <f t="shared" si="264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0"/>
      <c r="C525" s="565"/>
      <c r="D525" s="566"/>
      <c r="E525" s="567" t="s">
        <v>185</v>
      </c>
      <c r="F525" s="565"/>
      <c r="G525" s="568"/>
      <c r="H525" s="165" t="s">
        <v>12</v>
      </c>
      <c r="I525" s="44"/>
      <c r="J525" s="44"/>
      <c r="K525" s="45"/>
      <c r="L525" s="45">
        <f t="shared" ref="L525:N525" ca="1" si="266">L528+L535</f>
        <v>652760</v>
      </c>
      <c r="M525" s="45">
        <f t="shared" si="266"/>
        <v>0</v>
      </c>
      <c r="N525" s="45">
        <f t="shared" ca="1" si="266"/>
        <v>125595</v>
      </c>
      <c r="O525" s="45">
        <f t="shared" ca="1" si="263"/>
        <v>19.240609105950121</v>
      </c>
      <c r="P525" s="45">
        <f t="shared" si="264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>
      <c r="A526" s="562"/>
      <c r="B526" s="539"/>
      <c r="C526" s="540"/>
      <c r="D526" s="571" t="s">
        <v>20</v>
      </c>
      <c r="E526" s="540"/>
      <c r="F526" s="540"/>
      <c r="G526" s="189"/>
      <c r="H526" s="161" t="s">
        <v>12</v>
      </c>
      <c r="I526" s="162"/>
      <c r="J526" s="162"/>
      <c r="K526" s="163"/>
      <c r="L526" s="38">
        <f t="shared" ref="L526:N526" ca="1" si="267">L527+L528</f>
        <v>652760</v>
      </c>
      <c r="M526" s="38">
        <f t="shared" si="267"/>
        <v>0</v>
      </c>
      <c r="N526" s="38">
        <f t="shared" ca="1" si="267"/>
        <v>125595</v>
      </c>
      <c r="O526" s="38">
        <f t="shared" ca="1" si="263"/>
        <v>19.240609105950121</v>
      </c>
      <c r="P526" s="38">
        <f t="shared" si="264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0"/>
      <c r="C527" s="565"/>
      <c r="D527" s="566"/>
      <c r="E527" s="567" t="s">
        <v>184</v>
      </c>
      <c r="F527" s="565"/>
      <c r="G527" s="56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3"/>
        <v>0</v>
      </c>
      <c r="P527" s="45">
        <f t="shared" si="264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0"/>
      <c r="C528" s="565"/>
      <c r="D528" s="566"/>
      <c r="E528" s="567" t="s">
        <v>185</v>
      </c>
      <c r="F528" s="565"/>
      <c r="G528" s="568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v>0</v>
      </c>
      <c r="N528" s="45">
        <f ca="1">N529+N530+N531+N532</f>
        <v>125595</v>
      </c>
      <c r="O528" s="45">
        <f t="shared" ca="1" si="263"/>
        <v>19.240609105950121</v>
      </c>
      <c r="P528" s="45">
        <f t="shared" si="264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>
      <c r="A529" s="538"/>
      <c r="B529" s="539"/>
      <c r="C529" s="540"/>
      <c r="D529" s="540"/>
      <c r="E529" s="540"/>
      <c r="F529" s="541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"),125595)</f>
        <v>125595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>
      <c r="A530" s="538"/>
      <c r="B530" s="539"/>
      <c r="C530" s="540"/>
      <c r="D530" s="540"/>
      <c r="E530" s="540"/>
      <c r="F530" s="541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"),0)</f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>
      <c r="A531" s="538"/>
      <c r="B531" s="539"/>
      <c r="C531" s="540"/>
      <c r="D531" s="540"/>
      <c r="E531" s="540"/>
      <c r="F531" s="541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>
      <c r="A532" s="538"/>
      <c r="B532" s="539"/>
      <c r="C532" s="540"/>
      <c r="D532" s="540"/>
      <c r="E532" s="540"/>
      <c r="F532" s="541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"),0)</f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>
      <c r="A533" s="562"/>
      <c r="B533" s="539"/>
      <c r="C533" s="540"/>
      <c r="D533" s="571" t="s">
        <v>21</v>
      </c>
      <c r="E533" s="540"/>
      <c r="F533" s="540"/>
      <c r="G533" s="189"/>
      <c r="H533" s="168" t="s">
        <v>12</v>
      </c>
      <c r="I533" s="162"/>
      <c r="J533" s="162"/>
      <c r="K533" s="163"/>
      <c r="L533" s="38">
        <f t="shared" ref="L533:N533" ca="1" si="268">L534+L535</f>
        <v>0</v>
      </c>
      <c r="M533" s="38">
        <f t="shared" si="268"/>
        <v>0</v>
      </c>
      <c r="N533" s="38">
        <f t="shared" si="268"/>
        <v>0</v>
      </c>
      <c r="O533" s="38">
        <f t="shared" ref="O533:O535" ca="1" si="269">IF(L533&gt;0,N533*100/L533,0)</f>
        <v>0</v>
      </c>
      <c r="P533" s="38">
        <f t="shared" ref="P533:P535" si="270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0"/>
      <c r="C534" s="565"/>
      <c r="D534" s="565"/>
      <c r="E534" s="567" t="s">
        <v>18</v>
      </c>
      <c r="F534" s="565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9"/>
        <v>0</v>
      </c>
      <c r="P534" s="45">
        <f t="shared" si="270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0"/>
      <c r="C535" s="565"/>
      <c r="D535" s="565"/>
      <c r="E535" s="567" t="s">
        <v>19</v>
      </c>
      <c r="F535" s="565"/>
      <c r="G535" s="56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69"/>
        <v>0</v>
      </c>
      <c r="P535" s="45">
        <f t="shared" si="270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>
      <c r="A536" s="573"/>
      <c r="B536" s="574"/>
      <c r="C536" s="540" t="s">
        <v>16</v>
      </c>
      <c r="D536" s="645" t="s">
        <v>38</v>
      </c>
      <c r="E536" s="577"/>
      <c r="F536" s="577"/>
      <c r="G536" s="578"/>
      <c r="H536" s="175"/>
      <c r="I536" s="162"/>
      <c r="J536" s="162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>
      <c r="A537" s="538"/>
      <c r="B537" s="539"/>
      <c r="C537" s="540"/>
      <c r="D537" s="646" t="s">
        <v>227</v>
      </c>
      <c r="E537" s="540"/>
      <c r="F537" s="540"/>
      <c r="G537" s="189"/>
      <c r="H537" s="36" t="s">
        <v>35</v>
      </c>
      <c r="I537" s="647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IF(AND(J538=I538,J539=I539,J540=I540,J541=I541),I537,0)</f>
        <v>0</v>
      </c>
      <c r="K537" s="38">
        <f t="shared" ref="K537:K543" ca="1" si="271">IF(I537&gt;0,J537*100/I537,0)</f>
        <v>0</v>
      </c>
      <c r="L537" s="38"/>
      <c r="M537" s="38"/>
      <c r="N537" s="38"/>
      <c r="O537" s="38"/>
      <c r="P537" s="38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>
      <c r="A538" s="538"/>
      <c r="B538" s="539"/>
      <c r="C538" s="540"/>
      <c r="D538" s="541"/>
      <c r="E538" s="649" t="s">
        <v>228</v>
      </c>
      <c r="F538" s="540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"),40)</f>
        <v>40</v>
      </c>
      <c r="K538" s="38">
        <f t="shared" ca="1" si="271"/>
        <v>50</v>
      </c>
      <c r="L538" s="38"/>
      <c r="M538" s="38"/>
      <c r="N538" s="38"/>
      <c r="O538" s="38"/>
      <c r="P538" s="38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>
      <c r="A539" s="538"/>
      <c r="B539" s="539"/>
      <c r="C539" s="540"/>
      <c r="D539" s="541"/>
      <c r="E539" s="649" t="s">
        <v>229</v>
      </c>
      <c r="F539" s="540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1"/>
        <v>0</v>
      </c>
      <c r="L539" s="38"/>
      <c r="M539" s="38"/>
      <c r="N539" s="38"/>
      <c r="O539" s="38"/>
      <c r="P539" s="38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>
      <c r="A540" s="538"/>
      <c r="B540" s="539"/>
      <c r="C540" s="540"/>
      <c r="D540" s="541"/>
      <c r="E540" s="649" t="s">
        <v>230</v>
      </c>
      <c r="F540" s="540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1"/>
        <v>0</v>
      </c>
      <c r="L540" s="38"/>
      <c r="M540" s="38"/>
      <c r="N540" s="38"/>
      <c r="O540" s="38"/>
      <c r="P540" s="38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>
      <c r="A541" s="538"/>
      <c r="B541" s="539"/>
      <c r="C541" s="540"/>
      <c r="D541" s="541"/>
      <c r="E541" s="650" t="s">
        <v>231</v>
      </c>
      <c r="F541" s="540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"),0)</f>
        <v>0</v>
      </c>
      <c r="K541" s="38">
        <f t="shared" ca="1" si="271"/>
        <v>0</v>
      </c>
      <c r="L541" s="38"/>
      <c r="M541" s="38"/>
      <c r="N541" s="38"/>
      <c r="O541" s="38"/>
      <c r="P541" s="38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>
      <c r="A542" s="538"/>
      <c r="B542" s="539"/>
      <c r="C542" s="540"/>
      <c r="D542" s="541" t="s">
        <v>59</v>
      </c>
      <c r="E542" s="540"/>
      <c r="F542" s="540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"),0)</f>
        <v>0</v>
      </c>
      <c r="K542" s="38">
        <f t="shared" ca="1" si="271"/>
        <v>0</v>
      </c>
      <c r="L542" s="38"/>
      <c r="M542" s="38"/>
      <c r="N542" s="38"/>
      <c r="O542" s="38"/>
      <c r="P542" s="38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72">I559</f>
        <v>789391</v>
      </c>
      <c r="J543" s="653">
        <f t="shared" ca="1" si="272"/>
        <v>0</v>
      </c>
      <c r="K543" s="654">
        <f t="shared" ca="1" si="271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05" t="s">
        <v>17</v>
      </c>
      <c r="E544" s="806"/>
      <c r="F544" s="806"/>
      <c r="G544" s="657"/>
      <c r="H544" s="275" t="s">
        <v>12</v>
      </c>
      <c r="I544" s="153"/>
      <c r="J544" s="153"/>
      <c r="K544" s="154"/>
      <c r="L544" s="155">
        <f t="shared" ref="L544:N544" ca="1" si="273">L545+L546</f>
        <v>7224770</v>
      </c>
      <c r="M544" s="155">
        <f t="shared" si="273"/>
        <v>0</v>
      </c>
      <c r="N544" s="155">
        <f t="shared" ca="1" si="273"/>
        <v>1131618.1000000001</v>
      </c>
      <c r="O544" s="155">
        <f t="shared" ref="O544:O549" ca="1" si="274">IF(L544&gt;0,N544*100/L544,0)</f>
        <v>15.66303287163467</v>
      </c>
      <c r="P544" s="155">
        <f t="shared" ref="P544:P549" si="275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565"/>
      <c r="C545" s="565"/>
      <c r="D545" s="565"/>
      <c r="E545" s="567" t="s">
        <v>184</v>
      </c>
      <c r="F545" s="565"/>
      <c r="G545" s="568"/>
      <c r="H545" s="165" t="s">
        <v>12</v>
      </c>
      <c r="I545" s="44"/>
      <c r="J545" s="44"/>
      <c r="K545" s="45"/>
      <c r="L545" s="45">
        <f t="shared" ref="L545:L546" si="276">L548+L556</f>
        <v>0</v>
      </c>
      <c r="M545" s="45">
        <f t="shared" ref="M545:N545" si="277">M548+M555</f>
        <v>0</v>
      </c>
      <c r="N545" s="45">
        <f t="shared" si="277"/>
        <v>0</v>
      </c>
      <c r="O545" s="45">
        <f t="shared" si="274"/>
        <v>0</v>
      </c>
      <c r="P545" s="45">
        <f t="shared" si="275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0"/>
      <c r="C546" s="565"/>
      <c r="D546" s="565"/>
      <c r="E546" s="567" t="s">
        <v>185</v>
      </c>
      <c r="F546" s="565"/>
      <c r="G546" s="568"/>
      <c r="H546" s="165" t="s">
        <v>12</v>
      </c>
      <c r="I546" s="44"/>
      <c r="J546" s="44"/>
      <c r="K546" s="45"/>
      <c r="L546" s="45">
        <f t="shared" ca="1" si="276"/>
        <v>7224770</v>
      </c>
      <c r="M546" s="45">
        <f t="shared" ref="M546:N546" si="278">M549+M556</f>
        <v>0</v>
      </c>
      <c r="N546" s="45">
        <f t="shared" ca="1" si="278"/>
        <v>1131618.1000000001</v>
      </c>
      <c r="O546" s="45">
        <f t="shared" ca="1" si="274"/>
        <v>15.66303287163467</v>
      </c>
      <c r="P546" s="45">
        <f t="shared" si="275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540"/>
      <c r="D547" s="571" t="s">
        <v>20</v>
      </c>
      <c r="E547" s="540"/>
      <c r="F547" s="540"/>
      <c r="G547" s="189"/>
      <c r="H547" s="161" t="s">
        <v>12</v>
      </c>
      <c r="I547" s="162"/>
      <c r="J547" s="162"/>
      <c r="K547" s="163"/>
      <c r="L547" s="38">
        <f t="shared" ref="L547:N547" ca="1" si="279">L548+L549</f>
        <v>7224770</v>
      </c>
      <c r="M547" s="38">
        <f t="shared" si="279"/>
        <v>0</v>
      </c>
      <c r="N547" s="38">
        <f t="shared" ca="1" si="279"/>
        <v>1131618.1000000001</v>
      </c>
      <c r="O547" s="38">
        <f t="shared" ca="1" si="274"/>
        <v>15.66303287163467</v>
      </c>
      <c r="P547" s="38">
        <f t="shared" si="275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0"/>
      <c r="C548" s="565"/>
      <c r="D548" s="566"/>
      <c r="E548" s="567" t="s">
        <v>184</v>
      </c>
      <c r="F548" s="565"/>
      <c r="G548" s="56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4"/>
        <v>0</v>
      </c>
      <c r="P548" s="45">
        <f t="shared" si="275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0"/>
      <c r="C549" s="565"/>
      <c r="D549" s="566"/>
      <c r="E549" s="567" t="s">
        <v>185</v>
      </c>
      <c r="F549" s="565"/>
      <c r="G549" s="568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"),7224770)</f>
        <v>7224770</v>
      </c>
      <c r="M549" s="93">
        <v>0</v>
      </c>
      <c r="N549" s="45">
        <f ca="1">N550+N551+N552+N553+N554</f>
        <v>1131618.1000000001</v>
      </c>
      <c r="O549" s="45">
        <f t="shared" ca="1" si="274"/>
        <v>15.66303287163467</v>
      </c>
      <c r="P549" s="45">
        <f t="shared" si="275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540"/>
      <c r="D550" s="540"/>
      <c r="E550" s="540"/>
      <c r="F550" s="541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540"/>
      <c r="F551" s="541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540"/>
      <c r="D552" s="540"/>
      <c r="E552" s="540"/>
      <c r="F552" s="541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"),453654.05)</f>
        <v>453654.05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540"/>
      <c r="F553" s="541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"),677964.05)</f>
        <v>677964.05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540"/>
      <c r="F554" s="541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"),0)</f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540"/>
      <c r="F555" s="540"/>
      <c r="G555" s="189"/>
      <c r="H555" s="168" t="s">
        <v>12</v>
      </c>
      <c r="I555" s="162"/>
      <c r="J555" s="162"/>
      <c r="K555" s="163"/>
      <c r="L555" s="38">
        <f t="shared" ref="L555:N555" ca="1" si="280">L556+L557</f>
        <v>0</v>
      </c>
      <c r="M555" s="38">
        <f t="shared" si="280"/>
        <v>0</v>
      </c>
      <c r="N555" s="38">
        <f t="shared" si="280"/>
        <v>0</v>
      </c>
      <c r="O555" s="38">
        <f t="shared" ref="O555:O557" ca="1" si="281">IF(L555&gt;0,N555*100/L555,0)</f>
        <v>0</v>
      </c>
      <c r="P555" s="38">
        <f t="shared" ref="P555:P557" si="282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0"/>
      <c r="C556" s="570"/>
      <c r="D556" s="565"/>
      <c r="E556" s="567" t="s">
        <v>18</v>
      </c>
      <c r="F556" s="565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1"/>
        <v>0</v>
      </c>
      <c r="P556" s="45">
        <f t="shared" si="282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0"/>
      <c r="C557" s="570"/>
      <c r="D557" s="565"/>
      <c r="E557" s="567" t="s">
        <v>19</v>
      </c>
      <c r="F557" s="565"/>
      <c r="G557" s="56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1"/>
        <v>0</v>
      </c>
      <c r="P557" s="45">
        <f t="shared" si="282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74"/>
      <c r="C558" s="539" t="s">
        <v>16</v>
      </c>
      <c r="D558" s="645" t="s">
        <v>38</v>
      </c>
      <c r="E558" s="577"/>
      <c r="F558" s="577"/>
      <c r="G558" s="578"/>
      <c r="H558" s="175"/>
      <c r="I558" s="162"/>
      <c r="J558" s="162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42">
        <f t="shared" ref="I559:J559" ca="1" si="283">I576</f>
        <v>789391</v>
      </c>
      <c r="J559" s="642">
        <f t="shared" ca="1" si="283"/>
        <v>0</v>
      </c>
      <c r="K559" s="643">
        <f t="shared" ref="K559:K561" ca="1" si="284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74"/>
      <c r="C560" s="589" t="s">
        <v>235</v>
      </c>
      <c r="D560" s="574"/>
      <c r="E560" s="586"/>
      <c r="F560" s="586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5">J562+J564+J566</f>
        <v>258299.54499999902</v>
      </c>
      <c r="K560" s="380">
        <f t="shared" ca="1" si="284"/>
        <v>32.721369384753437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74"/>
      <c r="C561" s="574"/>
      <c r="D561" s="586"/>
      <c r="E561" s="586"/>
      <c r="F561" s="586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5"/>
        <v>36157</v>
      </c>
      <c r="K561" s="380">
        <f t="shared" ca="1" si="284"/>
        <v>38.420342368955147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74"/>
      <c r="C562" s="574"/>
      <c r="D562" s="187" t="s">
        <v>236</v>
      </c>
      <c r="E562" s="586"/>
      <c r="F562" s="586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"),218383.969999999)</f>
        <v>218383.96999999901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74"/>
      <c r="C563" s="574"/>
      <c r="D563" s="574"/>
      <c r="E563" s="586"/>
      <c r="F563" s="586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"),31783)</f>
        <v>31783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74"/>
      <c r="C564" s="574"/>
      <c r="D564" s="187" t="s">
        <v>237</v>
      </c>
      <c r="E564" s="586"/>
      <c r="F564" s="586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"),34855.69)</f>
        <v>34855.69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74"/>
      <c r="C565" s="574"/>
      <c r="D565" s="586"/>
      <c r="E565" s="586"/>
      <c r="F565" s="586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"),3586)</f>
        <v>3586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74"/>
      <c r="C566" s="574"/>
      <c r="D566" s="187" t="s">
        <v>238</v>
      </c>
      <c r="E566" s="586"/>
      <c r="F566" s="586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"),5059.885)</f>
        <v>5059.8850000000002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74"/>
      <c r="C567" s="574"/>
      <c r="D567" s="586"/>
      <c r="E567" s="586"/>
      <c r="F567" s="586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"),788)</f>
        <v>788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74"/>
      <c r="C568" s="589" t="s">
        <v>239</v>
      </c>
      <c r="D568" s="586"/>
      <c r="E568" s="586"/>
      <c r="F568" s="586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6">J570+J572+J574</f>
        <v>3157</v>
      </c>
      <c r="K568" s="380">
        <f t="shared" ref="K568:K569" ca="1" si="287">IF(I568&gt;0,J568*100/I568,0)</f>
        <v>0.39992855251706694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74"/>
      <c r="C569" s="574"/>
      <c r="D569" s="574"/>
      <c r="E569" s="586"/>
      <c r="F569" s="586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6"/>
        <v>196</v>
      </c>
      <c r="K569" s="380">
        <f t="shared" ca="1" si="287"/>
        <v>0.20826913472675301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74"/>
      <c r="C570" s="574"/>
      <c r="D570" s="187" t="s">
        <v>240</v>
      </c>
      <c r="E570" s="574"/>
      <c r="F570" s="586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"),2577)</f>
        <v>2577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74"/>
      <c r="C571" s="574"/>
      <c r="D571" s="574"/>
      <c r="E571" s="586"/>
      <c r="F571" s="586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"),166)</f>
        <v>166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74"/>
      <c r="C572" s="574"/>
      <c r="D572" s="187" t="s">
        <v>241</v>
      </c>
      <c r="E572" s="586"/>
      <c r="F572" s="586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"),418)</f>
        <v>418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74"/>
      <c r="C573" s="574"/>
      <c r="D573" s="586"/>
      <c r="E573" s="586"/>
      <c r="F573" s="586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"),17)</f>
        <v>17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74"/>
      <c r="C574" s="574"/>
      <c r="D574" s="187" t="s">
        <v>242</v>
      </c>
      <c r="E574" s="586"/>
      <c r="F574" s="586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"),162)</f>
        <v>162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74"/>
      <c r="C575" s="574"/>
      <c r="D575" s="574"/>
      <c r="E575" s="586"/>
      <c r="F575" s="586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"),13)</f>
        <v>13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74"/>
      <c r="C576" s="589" t="s">
        <v>243</v>
      </c>
      <c r="D576" s="574"/>
      <c r="E576" s="574"/>
      <c r="F576" s="586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8">J578+J580+J582+J588+J590</f>
        <v>0</v>
      </c>
      <c r="K576" s="380">
        <f t="shared" ref="K576:K577" ca="1" si="289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74"/>
      <c r="C577" s="574"/>
      <c r="D577" s="574"/>
      <c r="E577" s="586"/>
      <c r="F577" s="586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8"/>
        <v>0</v>
      </c>
      <c r="K577" s="380">
        <f t="shared" ca="1" si="289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74"/>
      <c r="C578" s="574"/>
      <c r="D578" s="187" t="s">
        <v>244</v>
      </c>
      <c r="E578" s="586"/>
      <c r="F578" s="586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"),0)</f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74"/>
      <c r="C579" s="574"/>
      <c r="D579" s="574"/>
      <c r="E579" s="586"/>
      <c r="F579" s="586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"),0)</f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74"/>
      <c r="C580" s="574"/>
      <c r="D580" s="187" t="s">
        <v>245</v>
      </c>
      <c r="E580" s="586"/>
      <c r="F580" s="586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"),0)</f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74"/>
      <c r="C581" s="574"/>
      <c r="D581" s="574"/>
      <c r="E581" s="586"/>
      <c r="F581" s="586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"),0)</f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74"/>
      <c r="C582" s="574"/>
      <c r="D582" s="187" t="s">
        <v>246</v>
      </c>
      <c r="E582" s="586"/>
      <c r="F582" s="586"/>
      <c r="G582" s="175"/>
      <c r="H582" s="182" t="s">
        <v>46</v>
      </c>
      <c r="I582" s="162"/>
      <c r="J582" s="194">
        <f t="shared" ref="J582:J583" ca="1" si="290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74"/>
      <c r="C583" s="574"/>
      <c r="D583" s="574"/>
      <c r="E583" s="586"/>
      <c r="F583" s="586"/>
      <c r="G583" s="175"/>
      <c r="H583" s="182" t="s">
        <v>34</v>
      </c>
      <c r="I583" s="162"/>
      <c r="J583" s="194">
        <f t="shared" ca="1" si="290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74"/>
      <c r="C584" s="574"/>
      <c r="D584" s="574"/>
      <c r="E584" s="187" t="s">
        <v>247</v>
      </c>
      <c r="F584" s="586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"),0)</f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74"/>
      <c r="C585" s="574"/>
      <c r="D585" s="574"/>
      <c r="E585" s="586"/>
      <c r="F585" s="586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"),0)</f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74"/>
      <c r="C586" s="574"/>
      <c r="D586" s="574"/>
      <c r="E586" s="187" t="s">
        <v>248</v>
      </c>
      <c r="F586" s="586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"),0)</f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74"/>
      <c r="C587" s="574"/>
      <c r="D587" s="574"/>
      <c r="E587" s="574"/>
      <c r="F587" s="586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"),0)</f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74"/>
      <c r="C588" s="574"/>
      <c r="D588" s="187" t="s">
        <v>249</v>
      </c>
      <c r="E588" s="586"/>
      <c r="F588" s="586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"),0)</f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74"/>
      <c r="C589" s="574"/>
      <c r="D589" s="574"/>
      <c r="E589" s="574"/>
      <c r="F589" s="586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"),0)</f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74"/>
      <c r="C590" s="574"/>
      <c r="D590" s="187" t="s">
        <v>250</v>
      </c>
      <c r="E590" s="586"/>
      <c r="F590" s="586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"),0)</f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"),0)</f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42">
        <f t="shared" ref="I592:J592" ca="1" si="291">I593</f>
        <v>46959</v>
      </c>
      <c r="J592" s="642">
        <f t="shared" ca="1" si="291"/>
        <v>2711.49</v>
      </c>
      <c r="K592" s="643">
        <f t="shared" ref="K592:K594" ca="1" si="292">IF(I592&gt;0,J592*100/I592,0)</f>
        <v>5.7741646968632212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74"/>
      <c r="C593" s="589" t="s">
        <v>252</v>
      </c>
      <c r="D593" s="574"/>
      <c r="E593" s="574"/>
      <c r="F593" s="586"/>
      <c r="G593" s="175"/>
      <c r="H593" s="192" t="s">
        <v>46</v>
      </c>
      <c r="I593" s="193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"),46959)</f>
        <v>46959</v>
      </c>
      <c r="J593" s="193">
        <f t="shared" ref="J593:J594" ca="1" si="293">J595+J603+J609</f>
        <v>2711.49</v>
      </c>
      <c r="K593" s="380">
        <f t="shared" ca="1" si="292"/>
        <v>5.7741646968632212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74"/>
      <c r="C594" s="574"/>
      <c r="D594" s="574"/>
      <c r="E594" s="586"/>
      <c r="F594" s="586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"),4494)</f>
        <v>4494</v>
      </c>
      <c r="J594" s="193">
        <f t="shared" ca="1" si="293"/>
        <v>310</v>
      </c>
      <c r="K594" s="380">
        <f t="shared" ca="1" si="292"/>
        <v>6.8980863373386736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74"/>
      <c r="C595" s="585" t="s">
        <v>253</v>
      </c>
      <c r="D595" s="574"/>
      <c r="E595" s="574"/>
      <c r="F595" s="586"/>
      <c r="G595" s="175"/>
      <c r="H595" s="182" t="s">
        <v>46</v>
      </c>
      <c r="I595" s="162"/>
      <c r="J595" s="162">
        <f t="shared" ref="J595:J596" ca="1" si="294">J597+J599</f>
        <v>2669.49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74"/>
      <c r="C596" s="574"/>
      <c r="D596" s="574"/>
      <c r="E596" s="586"/>
      <c r="F596" s="586"/>
      <c r="G596" s="175"/>
      <c r="H596" s="182" t="s">
        <v>34</v>
      </c>
      <c r="I596" s="162"/>
      <c r="J596" s="162">
        <f t="shared" ca="1" si="294"/>
        <v>308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74"/>
      <c r="C597" s="574"/>
      <c r="D597" s="263" t="s">
        <v>254</v>
      </c>
      <c r="E597" s="586"/>
      <c r="F597" s="586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"),398)</f>
        <v>398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74"/>
      <c r="C598" s="574"/>
      <c r="D598" s="574"/>
      <c r="E598" s="586"/>
      <c r="F598" s="586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"),24)</f>
        <v>24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74"/>
      <c r="C599" s="574"/>
      <c r="D599" s="263" t="s">
        <v>255</v>
      </c>
      <c r="E599" s="586"/>
      <c r="F599" s="586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"),2271.49)</f>
        <v>2271.4899999999998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74"/>
      <c r="C600" s="574"/>
      <c r="D600" s="574"/>
      <c r="E600" s="586"/>
      <c r="F600" s="586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"),284)</f>
        <v>284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74"/>
      <c r="C601" s="574"/>
      <c r="D601" s="263" t="s">
        <v>256</v>
      </c>
      <c r="E601" s="586"/>
      <c r="F601" s="586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74"/>
      <c r="C602" s="574"/>
      <c r="D602" s="574"/>
      <c r="E602" s="586"/>
      <c r="F602" s="586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74"/>
      <c r="C603" s="669" t="s">
        <v>257</v>
      </c>
      <c r="D603" s="574"/>
      <c r="E603" s="574"/>
      <c r="F603" s="586"/>
      <c r="G603" s="175"/>
      <c r="H603" s="182" t="s">
        <v>46</v>
      </c>
      <c r="I603" s="37"/>
      <c r="J603" s="37">
        <f t="shared" ref="J603:J604" ca="1" si="295">J605+J607</f>
        <v>42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74"/>
      <c r="C604" s="574"/>
      <c r="D604" s="574"/>
      <c r="E604" s="586"/>
      <c r="F604" s="586"/>
      <c r="G604" s="175"/>
      <c r="H604" s="182" t="s">
        <v>34</v>
      </c>
      <c r="I604" s="37"/>
      <c r="J604" s="37">
        <f t="shared" ca="1" si="295"/>
        <v>2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74"/>
      <c r="C605" s="574"/>
      <c r="D605" s="669" t="s">
        <v>258</v>
      </c>
      <c r="E605" s="586"/>
      <c r="F605" s="586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"),24)</f>
        <v>24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74"/>
      <c r="C606" s="574"/>
      <c r="D606" s="574"/>
      <c r="E606" s="574"/>
      <c r="F606" s="586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"),1)</f>
        <v>1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74"/>
      <c r="C607" s="574"/>
      <c r="D607" s="669" t="s">
        <v>259</v>
      </c>
      <c r="E607" s="574"/>
      <c r="F607" s="586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"),18)</f>
        <v>18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74"/>
      <c r="C608" s="574"/>
      <c r="D608" s="574"/>
      <c r="E608" s="586"/>
      <c r="F608" s="586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"),1)</f>
        <v>1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74"/>
      <c r="C609" s="585" t="s">
        <v>260</v>
      </c>
      <c r="D609" s="574"/>
      <c r="E609" s="574"/>
      <c r="F609" s="586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"),0)</f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74"/>
      <c r="C610" s="574"/>
      <c r="D610" s="574"/>
      <c r="E610" s="586"/>
      <c r="F610" s="586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"),0)</f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42">
        <f>J614+J616</f>
        <v>0</v>
      </c>
      <c r="K611" s="643">
        <f t="shared" ref="K611:K613" si="296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74"/>
      <c r="C612" s="675" t="s">
        <v>262</v>
      </c>
      <c r="D612" s="674"/>
      <c r="E612" s="674"/>
      <c r="F612" s="676"/>
      <c r="G612" s="677"/>
      <c r="H612" s="678" t="s">
        <v>46</v>
      </c>
      <c r="I612" s="679">
        <v>0</v>
      </c>
      <c r="J612" s="680">
        <f t="shared" ref="J612:J613" si="297">J614+J616</f>
        <v>0</v>
      </c>
      <c r="K612" s="681">
        <f t="shared" si="296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74"/>
      <c r="C613" s="683" t="s">
        <v>263</v>
      </c>
      <c r="D613" s="674"/>
      <c r="E613" s="674"/>
      <c r="F613" s="676"/>
      <c r="G613" s="677"/>
      <c r="H613" s="678" t="s">
        <v>34</v>
      </c>
      <c r="I613" s="679">
        <v>0</v>
      </c>
      <c r="J613" s="680">
        <f t="shared" si="297"/>
        <v>0</v>
      </c>
      <c r="K613" s="681">
        <f t="shared" si="296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0"/>
      <c r="C614" s="580"/>
      <c r="D614" s="684" t="s">
        <v>264</v>
      </c>
      <c r="E614" s="580"/>
      <c r="F614" s="566"/>
      <c r="G614" s="582"/>
      <c r="H614" s="583" t="s">
        <v>46</v>
      </c>
      <c r="I614" s="4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0"/>
      <c r="C615" s="580"/>
      <c r="D615" s="580"/>
      <c r="E615" s="580"/>
      <c r="F615" s="566"/>
      <c r="G615" s="582"/>
      <c r="H615" s="583" t="s">
        <v>34</v>
      </c>
      <c r="I615" s="4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0"/>
      <c r="C616" s="580"/>
      <c r="D616" s="685" t="s">
        <v>264</v>
      </c>
      <c r="E616" s="566"/>
      <c r="F616" s="566"/>
      <c r="G616" s="582"/>
      <c r="H616" s="583" t="s">
        <v>46</v>
      </c>
      <c r="I616" s="4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0"/>
      <c r="C617" s="580"/>
      <c r="D617" s="580"/>
      <c r="E617" s="566"/>
      <c r="F617" s="566"/>
      <c r="G617" s="582"/>
      <c r="H617" s="583" t="s">
        <v>34</v>
      </c>
      <c r="I617" s="4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0"/>
      <c r="C618" s="580"/>
      <c r="D618" s="685" t="s">
        <v>265</v>
      </c>
      <c r="E618" s="566"/>
      <c r="F618" s="566"/>
      <c r="G618" s="582"/>
      <c r="H618" s="583" t="s">
        <v>46</v>
      </c>
      <c r="I618" s="4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0"/>
      <c r="C619" s="580"/>
      <c r="D619" s="580"/>
      <c r="E619" s="566"/>
      <c r="F619" s="566"/>
      <c r="G619" s="582"/>
      <c r="H619" s="583" t="s">
        <v>34</v>
      </c>
      <c r="I619" s="4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87"/>
      <c r="C620" s="688" t="s">
        <v>266</v>
      </c>
      <c r="D620" s="687"/>
      <c r="E620" s="687"/>
      <c r="F620" s="689"/>
      <c r="G620" s="690"/>
      <c r="H620" s="691" t="s">
        <v>46</v>
      </c>
      <c r="I620" s="692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"),821)</f>
        <v>821</v>
      </c>
      <c r="J620" s="692">
        <f t="shared" ref="J620:J621" ca="1" si="298">J622+J624+J626</f>
        <v>0</v>
      </c>
      <c r="K620" s="693">
        <f t="shared" ref="K620:K621" ca="1" si="299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87"/>
      <c r="C621" s="695" t="s">
        <v>267</v>
      </c>
      <c r="D621" s="687"/>
      <c r="E621" s="687"/>
      <c r="F621" s="689"/>
      <c r="G621" s="690"/>
      <c r="H621" s="691" t="s">
        <v>34</v>
      </c>
      <c r="I621" s="692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"),79)</f>
        <v>79</v>
      </c>
      <c r="J621" s="692">
        <f t="shared" ca="1" si="298"/>
        <v>0</v>
      </c>
      <c r="K621" s="693">
        <f t="shared" ca="1" si="299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74"/>
      <c r="C622" s="574"/>
      <c r="D622" s="263" t="s">
        <v>268</v>
      </c>
      <c r="E622" s="586"/>
      <c r="F622" s="586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"),0)</f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74"/>
      <c r="C623" s="574"/>
      <c r="D623" s="574"/>
      <c r="E623" s="586"/>
      <c r="F623" s="586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"),0)</f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74"/>
      <c r="C624" s="574"/>
      <c r="D624" s="263" t="s">
        <v>264</v>
      </c>
      <c r="E624" s="586"/>
      <c r="F624" s="586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"),0)</f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74"/>
      <c r="C625" s="574"/>
      <c r="D625" s="574"/>
      <c r="E625" s="586"/>
      <c r="F625" s="586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"),0)</f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74"/>
      <c r="C626" s="574"/>
      <c r="D626" s="263" t="s">
        <v>269</v>
      </c>
      <c r="E626" s="586"/>
      <c r="F626" s="586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"),0)</f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"),0)</f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300">I651</f>
        <v>2481</v>
      </c>
      <c r="J628" s="705">
        <f t="shared" ca="1" si="300"/>
        <v>19</v>
      </c>
      <c r="K628" s="706">
        <f ca="1">IF(I628&gt;0,J628*100/I628,0)</f>
        <v>0.76582023377670294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540"/>
      <c r="C629" s="540" t="s">
        <v>16</v>
      </c>
      <c r="D629" s="803" t="s">
        <v>17</v>
      </c>
      <c r="E629" s="804"/>
      <c r="F629" s="804"/>
      <c r="G629" s="189"/>
      <c r="H629" s="563" t="s">
        <v>12</v>
      </c>
      <c r="I629" s="37"/>
      <c r="J629" s="37"/>
      <c r="K629" s="38"/>
      <c r="L629" s="195">
        <f t="shared" ref="L629:N629" ca="1" si="301">L630+L631</f>
        <v>5684995</v>
      </c>
      <c r="M629" s="195">
        <f t="shared" si="301"/>
        <v>0</v>
      </c>
      <c r="N629" s="195">
        <f t="shared" ca="1" si="301"/>
        <v>796500.69999999902</v>
      </c>
      <c r="O629" s="195">
        <f t="shared" ref="O629:O634" ca="1" si="302">IF(L629&gt;0,N629*100/L629,0)</f>
        <v>14.010578725223136</v>
      </c>
      <c r="P629" s="195">
        <f t="shared" ref="P629:P634" si="303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565"/>
      <c r="C630" s="565"/>
      <c r="D630" s="566"/>
      <c r="E630" s="567" t="s">
        <v>184</v>
      </c>
      <c r="F630" s="565"/>
      <c r="G630" s="568"/>
      <c r="H630" s="165" t="s">
        <v>12</v>
      </c>
      <c r="I630" s="44"/>
      <c r="J630" s="44"/>
      <c r="K630" s="45"/>
      <c r="L630" s="45">
        <f t="shared" ref="L630:N630" si="304">L633+L640</f>
        <v>0</v>
      </c>
      <c r="M630" s="45">
        <f t="shared" si="304"/>
        <v>0</v>
      </c>
      <c r="N630" s="45">
        <f t="shared" si="304"/>
        <v>0</v>
      </c>
      <c r="O630" s="45">
        <f t="shared" si="302"/>
        <v>0</v>
      </c>
      <c r="P630" s="45">
        <f t="shared" si="303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0"/>
      <c r="C631" s="565"/>
      <c r="D631" s="566"/>
      <c r="E631" s="567" t="s">
        <v>185</v>
      </c>
      <c r="F631" s="565"/>
      <c r="G631" s="568"/>
      <c r="H631" s="165" t="s">
        <v>12</v>
      </c>
      <c r="I631" s="44"/>
      <c r="J631" s="44"/>
      <c r="K631" s="45"/>
      <c r="L631" s="45">
        <f t="shared" ref="L631:N631" ca="1" si="305">L634+L641</f>
        <v>5684995</v>
      </c>
      <c r="M631" s="45">
        <f t="shared" si="305"/>
        <v>0</v>
      </c>
      <c r="N631" s="45">
        <f t="shared" ca="1" si="305"/>
        <v>796500.69999999902</v>
      </c>
      <c r="O631" s="45">
        <f t="shared" ca="1" si="302"/>
        <v>14.010578725223136</v>
      </c>
      <c r="P631" s="45">
        <f t="shared" si="303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540"/>
      <c r="D632" s="571" t="s">
        <v>20</v>
      </c>
      <c r="E632" s="540"/>
      <c r="F632" s="540"/>
      <c r="G632" s="189"/>
      <c r="H632" s="161" t="s">
        <v>12</v>
      </c>
      <c r="I632" s="162"/>
      <c r="J632" s="162"/>
      <c r="K632" s="163"/>
      <c r="L632" s="38">
        <f t="shared" ref="L632:N632" ca="1" si="306">L633+L634</f>
        <v>5684995</v>
      </c>
      <c r="M632" s="38">
        <f t="shared" si="306"/>
        <v>0</v>
      </c>
      <c r="N632" s="38">
        <f t="shared" ca="1" si="306"/>
        <v>796500.69999999902</v>
      </c>
      <c r="O632" s="38">
        <f t="shared" ca="1" si="302"/>
        <v>14.010578725223136</v>
      </c>
      <c r="P632" s="38">
        <f t="shared" si="303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0"/>
      <c r="C633" s="565"/>
      <c r="D633" s="566"/>
      <c r="E633" s="567" t="s">
        <v>184</v>
      </c>
      <c r="F633" s="565"/>
      <c r="G633" s="56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2"/>
        <v>0</v>
      </c>
      <c r="P633" s="45">
        <f t="shared" si="303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0"/>
      <c r="C634" s="565"/>
      <c r="D634" s="566"/>
      <c r="E634" s="567" t="s">
        <v>185</v>
      </c>
      <c r="F634" s="565"/>
      <c r="G634" s="568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v>0</v>
      </c>
      <c r="N634" s="45">
        <f ca="1">N635+N636+N637+N638</f>
        <v>796500.69999999902</v>
      </c>
      <c r="O634" s="45">
        <f t="shared" ca="1" si="302"/>
        <v>14.010578725223136</v>
      </c>
      <c r="P634" s="45">
        <f t="shared" si="303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540"/>
      <c r="D635" s="540"/>
      <c r="E635" s="540"/>
      <c r="F635" s="541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540"/>
      <c r="D636" s="540"/>
      <c r="E636" s="540"/>
      <c r="F636" s="541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540"/>
      <c r="D637" s="540"/>
      <c r="E637" s="540"/>
      <c r="F637" s="541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"),220566.669999999)</f>
        <v>220566.66999999899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540"/>
      <c r="D638" s="540"/>
      <c r="E638" s="540"/>
      <c r="F638" s="541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"),575934.03)</f>
        <v>575934.03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540"/>
      <c r="D639" s="571" t="s">
        <v>21</v>
      </c>
      <c r="E639" s="540"/>
      <c r="F639" s="540"/>
      <c r="G639" s="189"/>
      <c r="H639" s="168" t="s">
        <v>12</v>
      </c>
      <c r="I639" s="162"/>
      <c r="J639" s="162"/>
      <c r="K639" s="163"/>
      <c r="L639" s="38">
        <f t="shared" ref="L639:N639" ca="1" si="307">L640+L641</f>
        <v>0</v>
      </c>
      <c r="M639" s="38">
        <f t="shared" si="307"/>
        <v>0</v>
      </c>
      <c r="N639" s="38">
        <f t="shared" si="307"/>
        <v>0</v>
      </c>
      <c r="O639" s="38">
        <f t="shared" ref="O639:O641" ca="1" si="308">IF(L639&gt;0,N639*100/L639,0)</f>
        <v>0</v>
      </c>
      <c r="P639" s="38">
        <f t="shared" ref="P639:P641" si="309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0"/>
      <c r="C640" s="565"/>
      <c r="D640" s="565"/>
      <c r="E640" s="567" t="s">
        <v>18</v>
      </c>
      <c r="F640" s="565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8"/>
        <v>0</v>
      </c>
      <c r="P640" s="45">
        <f t="shared" si="309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0"/>
      <c r="C641" s="565"/>
      <c r="D641" s="565"/>
      <c r="E641" s="567" t="s">
        <v>19</v>
      </c>
      <c r="F641" s="565"/>
      <c r="G641" s="56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8"/>
        <v>0</v>
      </c>
      <c r="P641" s="45">
        <f t="shared" si="309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74"/>
      <c r="C642" s="540" t="s">
        <v>16</v>
      </c>
      <c r="D642" s="645" t="s">
        <v>38</v>
      </c>
      <c r="E642" s="577"/>
      <c r="F642" s="577"/>
      <c r="G642" s="578"/>
      <c r="H642" s="175"/>
      <c r="I642" s="162"/>
      <c r="J642" s="162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540"/>
      <c r="D643" s="586"/>
      <c r="E643" s="709" t="s">
        <v>271</v>
      </c>
      <c r="F643" s="586"/>
      <c r="G643" s="175"/>
      <c r="H643" s="417" t="s">
        <v>272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"),2)</f>
        <v>2</v>
      </c>
      <c r="K643" s="163">
        <f t="shared" ref="K643:K652" ca="1" si="310">IF(I643&gt;0,J643*100/I643,0)</f>
        <v>14.285714285714286</v>
      </c>
      <c r="L643" s="163"/>
      <c r="M643" s="163"/>
      <c r="N643" s="38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540"/>
      <c r="D644" s="586"/>
      <c r="E644" s="709" t="s">
        <v>273</v>
      </c>
      <c r="F644" s="586"/>
      <c r="G644" s="175"/>
      <c r="H644" s="417" t="s">
        <v>274</v>
      </c>
      <c r="I644" s="270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"),2)</f>
        <v>2</v>
      </c>
      <c r="K644" s="163">
        <f t="shared" ca="1" si="310"/>
        <v>50</v>
      </c>
      <c r="L644" s="163"/>
      <c r="M644" s="163"/>
      <c r="N644" s="38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540"/>
      <c r="D645" s="586"/>
      <c r="E645" s="710" t="s">
        <v>275</v>
      </c>
      <c r="F645" s="586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"),441)</f>
        <v>441</v>
      </c>
      <c r="K645" s="163">
        <f t="shared" si="310"/>
        <v>0</v>
      </c>
      <c r="L645" s="163"/>
      <c r="M645" s="163"/>
      <c r="N645" s="38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540"/>
      <c r="D646" s="586"/>
      <c r="E646" s="586"/>
      <c r="F646" s="586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"),297.14)</f>
        <v>297.14</v>
      </c>
      <c r="K646" s="38">
        <f t="shared" si="310"/>
        <v>0</v>
      </c>
      <c r="L646" s="163"/>
      <c r="M646" s="163"/>
      <c r="N646" s="38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540"/>
      <c r="D647" s="586"/>
      <c r="E647" s="263" t="s">
        <v>162</v>
      </c>
      <c r="F647" s="586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"),198)</f>
        <v>198</v>
      </c>
      <c r="K647" s="163">
        <f t="shared" ca="1" si="310"/>
        <v>7.9806529625151148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540"/>
      <c r="D648" s="586"/>
      <c r="E648" s="586"/>
      <c r="F648" s="586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"),139.39)</f>
        <v>139.38999999999999</v>
      </c>
      <c r="K648" s="38">
        <f t="shared" si="310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540"/>
      <c r="D649" s="586"/>
      <c r="E649" s="263" t="s">
        <v>276</v>
      </c>
      <c r="F649" s="586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"),101)</f>
        <v>101</v>
      </c>
      <c r="K649" s="163">
        <f t="shared" ca="1" si="310"/>
        <v>4.0709391374445785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540"/>
      <c r="D650" s="586"/>
      <c r="E650" s="586"/>
      <c r="F650" s="586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"),50.15)</f>
        <v>50.15</v>
      </c>
      <c r="K650" s="38">
        <f t="shared" si="310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540"/>
      <c r="D651" s="586"/>
      <c r="E651" s="263" t="s">
        <v>277</v>
      </c>
      <c r="F651" s="586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"),19)</f>
        <v>19</v>
      </c>
      <c r="K651" s="163">
        <f t="shared" ca="1" si="310"/>
        <v>0.76582023377670294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352">
        <v>0</v>
      </c>
      <c r="J652" s="469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"),17)</f>
        <v>17</v>
      </c>
      <c r="K652" s="470">
        <f t="shared" si="310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42">
        <f t="shared" ref="I654:J654" ca="1" si="311">I669</f>
        <v>1100</v>
      </c>
      <c r="J654" s="642">
        <f t="shared" ca="1" si="31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540"/>
      <c r="C655" s="540" t="s">
        <v>16</v>
      </c>
      <c r="D655" s="803" t="s">
        <v>17</v>
      </c>
      <c r="E655" s="804"/>
      <c r="F655" s="804"/>
      <c r="G655" s="189"/>
      <c r="H655" s="563" t="s">
        <v>12</v>
      </c>
      <c r="I655" s="37"/>
      <c r="J655" s="37"/>
      <c r="K655" s="38"/>
      <c r="L655" s="195">
        <f t="shared" ref="L655:N655" ca="1" si="312">L656+L657</f>
        <v>139600</v>
      </c>
      <c r="M655" s="195">
        <f t="shared" si="312"/>
        <v>0</v>
      </c>
      <c r="N655" s="195">
        <f t="shared" ca="1" si="312"/>
        <v>27835</v>
      </c>
      <c r="O655" s="195">
        <f t="shared" ref="O655:O660" ca="1" si="313">IF(L655&gt;0,N655*100/L655,0)</f>
        <v>19.939111747851001</v>
      </c>
      <c r="P655" s="195">
        <f t="shared" ref="P655:P660" si="314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565"/>
      <c r="C656" s="565"/>
      <c r="D656" s="566"/>
      <c r="E656" s="567" t="s">
        <v>184</v>
      </c>
      <c r="F656" s="565"/>
      <c r="G656" s="568"/>
      <c r="H656" s="165" t="s">
        <v>12</v>
      </c>
      <c r="I656" s="44"/>
      <c r="J656" s="44"/>
      <c r="K656" s="45"/>
      <c r="L656" s="45">
        <f t="shared" ref="L656:N656" si="315">L659+L666</f>
        <v>0</v>
      </c>
      <c r="M656" s="45">
        <f t="shared" si="315"/>
        <v>0</v>
      </c>
      <c r="N656" s="45">
        <f t="shared" si="315"/>
        <v>0</v>
      </c>
      <c r="O656" s="45">
        <f t="shared" si="313"/>
        <v>0</v>
      </c>
      <c r="P656" s="45">
        <f t="shared" si="314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0"/>
      <c r="C657" s="565"/>
      <c r="D657" s="566"/>
      <c r="E657" s="567" t="s">
        <v>185</v>
      </c>
      <c r="F657" s="565"/>
      <c r="G657" s="568"/>
      <c r="H657" s="165" t="s">
        <v>12</v>
      </c>
      <c r="I657" s="44"/>
      <c r="J657" s="44"/>
      <c r="K657" s="45"/>
      <c r="L657" s="45">
        <f t="shared" ref="L657:N657" ca="1" si="316">L660+L667</f>
        <v>139600</v>
      </c>
      <c r="M657" s="45">
        <f t="shared" si="316"/>
        <v>0</v>
      </c>
      <c r="N657" s="45">
        <f t="shared" ca="1" si="316"/>
        <v>27835</v>
      </c>
      <c r="O657" s="45">
        <f t="shared" ca="1" si="313"/>
        <v>19.939111747851001</v>
      </c>
      <c r="P657" s="45">
        <f t="shared" si="314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540"/>
      <c r="D658" s="571" t="s">
        <v>20</v>
      </c>
      <c r="E658" s="540"/>
      <c r="F658" s="540"/>
      <c r="G658" s="189"/>
      <c r="H658" s="161" t="s">
        <v>12</v>
      </c>
      <c r="I658" s="162"/>
      <c r="J658" s="162"/>
      <c r="K658" s="163"/>
      <c r="L658" s="38">
        <f t="shared" ref="L658:N658" ca="1" si="317">L659+L660</f>
        <v>139600</v>
      </c>
      <c r="M658" s="38">
        <f t="shared" si="317"/>
        <v>0</v>
      </c>
      <c r="N658" s="38">
        <f t="shared" ca="1" si="317"/>
        <v>27835</v>
      </c>
      <c r="O658" s="38">
        <f t="shared" ca="1" si="313"/>
        <v>19.939111747851001</v>
      </c>
      <c r="P658" s="38">
        <f t="shared" si="314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0"/>
      <c r="C659" s="565"/>
      <c r="D659" s="566"/>
      <c r="E659" s="567" t="s">
        <v>184</v>
      </c>
      <c r="F659" s="565"/>
      <c r="G659" s="56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3"/>
        <v>0</v>
      </c>
      <c r="P659" s="45">
        <f t="shared" si="314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0"/>
      <c r="C660" s="565"/>
      <c r="D660" s="566"/>
      <c r="E660" s="567" t="s">
        <v>185</v>
      </c>
      <c r="F660" s="565"/>
      <c r="G660" s="568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v>0</v>
      </c>
      <c r="N660" s="45">
        <f ca="1">N661+N662+N663+N664</f>
        <v>27835</v>
      </c>
      <c r="O660" s="45">
        <f t="shared" ca="1" si="313"/>
        <v>19.939111747851001</v>
      </c>
      <c r="P660" s="45">
        <f t="shared" si="314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540"/>
      <c r="D661" s="540"/>
      <c r="E661" s="540"/>
      <c r="F661" s="541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540"/>
      <c r="D662" s="540"/>
      <c r="E662" s="540"/>
      <c r="F662" s="541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540"/>
      <c r="E663" s="540"/>
      <c r="F663" s="541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540"/>
      <c r="F664" s="541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"),27835)</f>
        <v>27835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540"/>
      <c r="F665" s="540"/>
      <c r="G665" s="189"/>
      <c r="H665" s="168" t="s">
        <v>12</v>
      </c>
      <c r="I665" s="162"/>
      <c r="J665" s="162"/>
      <c r="K665" s="163"/>
      <c r="L665" s="38">
        <f t="shared" ref="L665:N665" si="318">L666+L667</f>
        <v>0</v>
      </c>
      <c r="M665" s="38">
        <f t="shared" si="318"/>
        <v>0</v>
      </c>
      <c r="N665" s="38">
        <f t="shared" si="318"/>
        <v>0</v>
      </c>
      <c r="O665" s="38">
        <f t="shared" ref="O665:O667" si="319">IF(L665&gt;0,N665*100/L665,0)</f>
        <v>0</v>
      </c>
      <c r="P665" s="38">
        <f t="shared" ref="P665:P667" si="32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0"/>
      <c r="C666" s="570"/>
      <c r="D666" s="570"/>
      <c r="E666" s="567" t="s">
        <v>18</v>
      </c>
      <c r="F666" s="565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9"/>
        <v>0</v>
      </c>
      <c r="P666" s="45">
        <f t="shared" si="32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0"/>
      <c r="C667" s="570"/>
      <c r="D667" s="570"/>
      <c r="E667" s="567" t="s">
        <v>19</v>
      </c>
      <c r="F667" s="565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9"/>
        <v>0</v>
      </c>
      <c r="P667" s="45">
        <f t="shared" si="32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74"/>
      <c r="C668" s="539" t="s">
        <v>16</v>
      </c>
      <c r="D668" s="575" t="s">
        <v>38</v>
      </c>
      <c r="E668" s="577"/>
      <c r="F668" s="577"/>
      <c r="G668" s="578"/>
      <c r="H668" s="175"/>
      <c r="I668" s="162"/>
      <c r="J668" s="162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74"/>
      <c r="C669" s="574"/>
      <c r="D669" s="585" t="s">
        <v>280</v>
      </c>
      <c r="E669" s="586"/>
      <c r="F669" s="586"/>
      <c r="G669" s="175"/>
      <c r="H669" s="716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74"/>
      <c r="C670" s="574"/>
      <c r="D670" s="574"/>
      <c r="E670" s="187" t="s">
        <v>281</v>
      </c>
      <c r="F670" s="586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"),32)</f>
        <v>32</v>
      </c>
      <c r="K670" s="38">
        <f ca="1">IF(I670&gt;0,(J670*100)/I670,0)</f>
        <v>69.565217391304344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74"/>
      <c r="C671" s="574"/>
      <c r="D671" s="574"/>
      <c r="E671" s="187" t="s">
        <v>282</v>
      </c>
      <c r="F671" s="586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"),22)</f>
        <v>22</v>
      </c>
      <c r="K671" s="38">
        <f ca="1">IF(I$671&gt;0,J671*100/I$671,0)</f>
        <v>47.826086956521742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74"/>
      <c r="C672" s="574"/>
      <c r="D672" s="574"/>
      <c r="E672" s="187" t="s">
        <v>283</v>
      </c>
      <c r="F672" s="586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"),646.95)</f>
        <v>646.95000000000005</v>
      </c>
      <c r="K672" s="38">
        <f t="shared" ref="K672:K675" ca="1" si="321">IF(I$669&gt;0,J672*100/I$669,0)</f>
        <v>58.81363636363637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74"/>
      <c r="C673" s="574"/>
      <c r="D673" s="574"/>
      <c r="E673" s="187" t="s">
        <v>284</v>
      </c>
      <c r="F673" s="586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"),0)</f>
        <v>0</v>
      </c>
      <c r="K673" s="38">
        <f t="shared" ca="1" si="32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74"/>
      <c r="C674" s="574"/>
      <c r="D674" s="574"/>
      <c r="E674" s="187" t="s">
        <v>285</v>
      </c>
      <c r="F674" s="586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74"/>
      <c r="C675" s="574"/>
      <c r="D675" s="574"/>
      <c r="E675" s="187" t="s">
        <v>286</v>
      </c>
      <c r="F675" s="586"/>
      <c r="G675" s="175"/>
      <c r="H675" s="182" t="s">
        <v>46</v>
      </c>
      <c r="I675" s="37"/>
      <c r="J675" s="194">
        <f ca="1">J676+J677</f>
        <v>0</v>
      </c>
      <c r="K675" s="195">
        <f t="shared" ca="1" si="32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74"/>
      <c r="C676" s="574"/>
      <c r="D676" s="574"/>
      <c r="E676" s="586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74"/>
      <c r="C677" s="574"/>
      <c r="D677" s="574"/>
      <c r="E677" s="586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74"/>
      <c r="C678" s="574"/>
      <c r="D678" s="585" t="s">
        <v>289</v>
      </c>
      <c r="E678" s="586"/>
      <c r="F678" s="586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74"/>
      <c r="C679" s="574"/>
      <c r="D679" s="574"/>
      <c r="E679" s="187" t="s">
        <v>290</v>
      </c>
      <c r="F679" s="586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74"/>
      <c r="C680" s="574"/>
      <c r="D680" s="574"/>
      <c r="E680" s="586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74"/>
      <c r="C681" s="574"/>
      <c r="D681" s="574"/>
      <c r="E681" s="586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74"/>
      <c r="C682" s="574"/>
      <c r="D682" s="574"/>
      <c r="E682" s="187" t="s">
        <v>291</v>
      </c>
      <c r="F682" s="586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74"/>
      <c r="C683" s="574"/>
      <c r="D683" s="574"/>
      <c r="E683" s="586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540"/>
      <c r="C685" s="540" t="s">
        <v>16</v>
      </c>
      <c r="D685" s="803" t="s">
        <v>17</v>
      </c>
      <c r="E685" s="804"/>
      <c r="F685" s="804"/>
      <c r="G685" s="189"/>
      <c r="H685" s="563" t="s">
        <v>12</v>
      </c>
      <c r="I685" s="37"/>
      <c r="J685" s="37"/>
      <c r="K685" s="38"/>
      <c r="L685" s="195">
        <f t="shared" ref="L685:N685" ca="1" si="322">L686+L687</f>
        <v>298560</v>
      </c>
      <c r="M685" s="195">
        <f t="shared" si="322"/>
        <v>0</v>
      </c>
      <c r="N685" s="195">
        <f t="shared" ca="1" si="322"/>
        <v>1000</v>
      </c>
      <c r="O685" s="195">
        <f t="shared" ref="O685:O688" ca="1" si="323">IF(L685&gt;0,N685*100/L685,0)</f>
        <v>0.334941050375134</v>
      </c>
      <c r="P685" s="195">
        <f t="shared" ref="P685:P688" si="32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565"/>
      <c r="C686" s="565"/>
      <c r="D686" s="566"/>
      <c r="E686" s="567" t="s">
        <v>184</v>
      </c>
      <c r="F686" s="565"/>
      <c r="G686" s="568"/>
      <c r="H686" s="165" t="s">
        <v>12</v>
      </c>
      <c r="I686" s="44"/>
      <c r="J686" s="44"/>
      <c r="K686" s="45"/>
      <c r="L686" s="45">
        <f t="shared" ref="L686:N686" si="325">L689+L696</f>
        <v>0</v>
      </c>
      <c r="M686" s="45">
        <f t="shared" si="325"/>
        <v>0</v>
      </c>
      <c r="N686" s="45">
        <f t="shared" si="325"/>
        <v>0</v>
      </c>
      <c r="O686" s="45">
        <f t="shared" si="323"/>
        <v>0</v>
      </c>
      <c r="P686" s="45">
        <f t="shared" si="32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0"/>
      <c r="C687" s="565"/>
      <c r="D687" s="566"/>
      <c r="E687" s="567" t="s">
        <v>185</v>
      </c>
      <c r="F687" s="565"/>
      <c r="G687" s="568"/>
      <c r="H687" s="165" t="s">
        <v>12</v>
      </c>
      <c r="I687" s="44"/>
      <c r="J687" s="44"/>
      <c r="K687" s="45"/>
      <c r="L687" s="45">
        <f t="shared" ref="L687:N687" ca="1" si="326">L690+L697</f>
        <v>298560</v>
      </c>
      <c r="M687" s="45">
        <f t="shared" si="326"/>
        <v>0</v>
      </c>
      <c r="N687" s="45">
        <f t="shared" ca="1" si="326"/>
        <v>1000</v>
      </c>
      <c r="O687" s="45">
        <f t="shared" ca="1" si="323"/>
        <v>0.334941050375134</v>
      </c>
      <c r="P687" s="45">
        <f t="shared" si="32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540"/>
      <c r="D688" s="571" t="s">
        <v>20</v>
      </c>
      <c r="E688" s="540"/>
      <c r="F688" s="540"/>
      <c r="G688" s="189"/>
      <c r="H688" s="161" t="s">
        <v>12</v>
      </c>
      <c r="I688" s="162"/>
      <c r="J688" s="162"/>
      <c r="K688" s="163"/>
      <c r="L688" s="38">
        <f t="shared" ref="L688:N688" ca="1" si="327">L689+L690</f>
        <v>298560</v>
      </c>
      <c r="M688" s="38">
        <f t="shared" si="327"/>
        <v>0</v>
      </c>
      <c r="N688" s="38">
        <f t="shared" ca="1" si="327"/>
        <v>1000</v>
      </c>
      <c r="O688" s="38">
        <f t="shared" ca="1" si="323"/>
        <v>0.334941050375134</v>
      </c>
      <c r="P688" s="38">
        <f t="shared" si="32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0"/>
      <c r="C689" s="565"/>
      <c r="D689" s="566"/>
      <c r="E689" s="567" t="s">
        <v>184</v>
      </c>
      <c r="F689" s="565"/>
      <c r="G689" s="56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0"/>
      <c r="C690" s="565"/>
      <c r="D690" s="566"/>
      <c r="E690" s="567" t="s">
        <v>185</v>
      </c>
      <c r="F690" s="565"/>
      <c r="G690" s="568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v>0</v>
      </c>
      <c r="N690" s="45">
        <f ca="1">N691+N692+N693+N694</f>
        <v>1000</v>
      </c>
      <c r="O690" s="45">
        <f ca="1">IF(L690&gt;0,N690*100/L690,0)</f>
        <v>0.334941050375134</v>
      </c>
      <c r="P690" s="45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540"/>
      <c r="D691" s="540"/>
      <c r="E691" s="540"/>
      <c r="F691" s="541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540"/>
      <c r="D692" s="540"/>
      <c r="E692" s="540"/>
      <c r="F692" s="541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540"/>
      <c r="D693" s="540"/>
      <c r="E693" s="540"/>
      <c r="F693" s="541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540"/>
      <c r="D694" s="540"/>
      <c r="E694" s="540"/>
      <c r="F694" s="541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"),1000)</f>
        <v>1000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540"/>
      <c r="D695" s="722" t="s">
        <v>21</v>
      </c>
      <c r="E695" s="540"/>
      <c r="F695" s="540"/>
      <c r="G695" s="189"/>
      <c r="H695" s="168" t="s">
        <v>12</v>
      </c>
      <c r="I695" s="162"/>
      <c r="J695" s="162"/>
      <c r="K695" s="163"/>
      <c r="L695" s="38">
        <f t="shared" ref="L695:N695" si="328">L696+L697</f>
        <v>0</v>
      </c>
      <c r="M695" s="38">
        <f t="shared" si="328"/>
        <v>0</v>
      </c>
      <c r="N695" s="38">
        <f t="shared" si="328"/>
        <v>0</v>
      </c>
      <c r="O695" s="38">
        <f t="shared" ref="O695:O697" si="329">IF(L695&gt;0,N695*100/L695,0)</f>
        <v>0</v>
      </c>
      <c r="P695" s="38">
        <f t="shared" ref="P695:P697" si="330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0"/>
      <c r="C696" s="565"/>
      <c r="D696" s="565"/>
      <c r="E696" s="723" t="s">
        <v>18</v>
      </c>
      <c r="F696" s="565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9"/>
        <v>0</v>
      </c>
      <c r="P696" s="45">
        <f t="shared" si="330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0"/>
      <c r="C697" s="565"/>
      <c r="D697" s="565"/>
      <c r="E697" s="723" t="s">
        <v>19</v>
      </c>
      <c r="F697" s="565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9"/>
        <v>0</v>
      </c>
      <c r="P697" s="45">
        <f t="shared" si="330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74"/>
      <c r="C698" s="540" t="s">
        <v>16</v>
      </c>
      <c r="D698" s="724" t="s">
        <v>38</v>
      </c>
      <c r="E698" s="725"/>
      <c r="F698" s="577"/>
      <c r="G698" s="578"/>
      <c r="H698" s="726"/>
      <c r="I698" s="162"/>
      <c r="J698" s="162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08"/>
      <c r="B699" s="540"/>
      <c r="C699" s="540"/>
      <c r="D699" s="541" t="s">
        <v>294</v>
      </c>
      <c r="E699" s="727"/>
      <c r="F699" s="540"/>
      <c r="G699" s="189"/>
      <c r="H699" s="728" t="s">
        <v>46</v>
      </c>
      <c r="I699" s="729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"),0)</f>
        <v>0</v>
      </c>
      <c r="K699" s="38">
        <f t="shared" ref="K699:K701" ca="1" si="331">IF(I699&gt;0,J699*100/I699,0)</f>
        <v>0</v>
      </c>
      <c r="L699" s="38"/>
      <c r="M699" s="189"/>
      <c r="N699" s="730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08"/>
      <c r="B700" s="540"/>
      <c r="C700" s="540"/>
      <c r="D700" s="541" t="s">
        <v>295</v>
      </c>
      <c r="E700" s="540"/>
      <c r="F700" s="540"/>
      <c r="G700" s="189"/>
      <c r="H700" s="728" t="s">
        <v>35</v>
      </c>
      <c r="I700" s="729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"),0)</f>
        <v>0</v>
      </c>
      <c r="K700" s="38">
        <f t="shared" ca="1" si="331"/>
        <v>0</v>
      </c>
      <c r="L700" s="38"/>
      <c r="M700" s="189"/>
      <c r="N700" s="730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08"/>
      <c r="B701" s="540"/>
      <c r="C701" s="540"/>
      <c r="D701" s="541" t="s">
        <v>296</v>
      </c>
      <c r="E701" s="540"/>
      <c r="F701" s="540"/>
      <c r="G701" s="189"/>
      <c r="H701" s="731" t="s">
        <v>46</v>
      </c>
      <c r="I701" s="732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70.039999999999907</v>
      </c>
      <c r="K701" s="195">
        <f t="shared" ca="1" si="331"/>
        <v>3.3544061302681949</v>
      </c>
      <c r="L701" s="38"/>
      <c r="M701" s="189"/>
      <c r="N701" s="730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08"/>
      <c r="B702" s="540"/>
      <c r="C702" s="540"/>
      <c r="D702" s="540"/>
      <c r="E702" s="541" t="s">
        <v>297</v>
      </c>
      <c r="F702" s="540"/>
      <c r="G702" s="189"/>
      <c r="H702" s="182" t="s">
        <v>35</v>
      </c>
      <c r="I702" s="729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"),0)</f>
        <v>0</v>
      </c>
      <c r="K702" s="38"/>
      <c r="L702" s="38"/>
      <c r="M702" s="189"/>
      <c r="N702" s="730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08"/>
      <c r="B703" s="540"/>
      <c r="C703" s="540"/>
      <c r="D703" s="540"/>
      <c r="E703" s="540"/>
      <c r="F703" s="540"/>
      <c r="G703" s="189"/>
      <c r="H703" s="182" t="s">
        <v>34</v>
      </c>
      <c r="I703" s="729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"),0)</f>
        <v>0</v>
      </c>
      <c r="K703" s="38"/>
      <c r="L703" s="38"/>
      <c r="M703" s="189"/>
      <c r="N703" s="730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08"/>
      <c r="B704" s="540"/>
      <c r="C704" s="540"/>
      <c r="D704" s="540"/>
      <c r="E704" s="540"/>
      <c r="F704" s="540"/>
      <c r="G704" s="189"/>
      <c r="H704" s="182" t="s">
        <v>46</v>
      </c>
      <c r="I704" s="729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"),0)</f>
        <v>0</v>
      </c>
      <c r="K704" s="38"/>
      <c r="L704" s="38"/>
      <c r="M704" s="189"/>
      <c r="N704" s="730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08"/>
      <c r="B705" s="540"/>
      <c r="C705" s="540"/>
      <c r="D705" s="540"/>
      <c r="E705" s="541" t="s">
        <v>298</v>
      </c>
      <c r="F705" s="540"/>
      <c r="G705" s="189"/>
      <c r="H705" s="182" t="s">
        <v>35</v>
      </c>
      <c r="I705" s="729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"),4)</f>
        <v>4</v>
      </c>
      <c r="K705" s="38"/>
      <c r="L705" s="38"/>
      <c r="M705" s="189"/>
      <c r="N705" s="730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08"/>
      <c r="B706" s="540"/>
      <c r="C706" s="540"/>
      <c r="D706" s="540"/>
      <c r="E706" s="540"/>
      <c r="F706" s="540"/>
      <c r="G706" s="189"/>
      <c r="H706" s="182" t="s">
        <v>34</v>
      </c>
      <c r="I706" s="729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"),4)</f>
        <v>4</v>
      </c>
      <c r="K706" s="38"/>
      <c r="L706" s="38"/>
      <c r="M706" s="189"/>
      <c r="N706" s="730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08"/>
      <c r="B707" s="540"/>
      <c r="C707" s="540"/>
      <c r="D707" s="540"/>
      <c r="E707" s="540"/>
      <c r="F707" s="540"/>
      <c r="G707" s="189"/>
      <c r="H707" s="182" t="s">
        <v>46</v>
      </c>
      <c r="I707" s="729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"),70.0399999999999)</f>
        <v>70.039999999999907</v>
      </c>
      <c r="K707" s="38"/>
      <c r="L707" s="38"/>
      <c r="M707" s="189"/>
      <c r="N707" s="730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08"/>
      <c r="B708" s="540"/>
      <c r="C708" s="540"/>
      <c r="D708" s="733" t="s">
        <v>299</v>
      </c>
      <c r="E708" s="540"/>
      <c r="F708" s="540"/>
      <c r="G708" s="189"/>
      <c r="H708" s="192" t="s">
        <v>46</v>
      </c>
      <c r="I708" s="732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30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08"/>
      <c r="B709" s="540"/>
      <c r="C709" s="540"/>
      <c r="D709" s="540"/>
      <c r="E709" s="541" t="s">
        <v>300</v>
      </c>
      <c r="F709" s="540"/>
      <c r="G709" s="189"/>
      <c r="H709" s="182" t="s">
        <v>34</v>
      </c>
      <c r="I709" s="729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"),0)</f>
        <v>0</v>
      </c>
      <c r="K709" s="38"/>
      <c r="L709" s="730"/>
      <c r="M709" s="189"/>
      <c r="N709" s="730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08"/>
      <c r="B710" s="540"/>
      <c r="C710" s="540"/>
      <c r="D710" s="540"/>
      <c r="E710" s="540"/>
      <c r="F710" s="540"/>
      <c r="G710" s="189"/>
      <c r="H710" s="182" t="s">
        <v>46</v>
      </c>
      <c r="I710" s="729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"),0)</f>
        <v>0</v>
      </c>
      <c r="K710" s="38"/>
      <c r="L710" s="730"/>
      <c r="M710" s="189"/>
      <c r="N710" s="730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08"/>
      <c r="B711" s="540"/>
      <c r="C711" s="540"/>
      <c r="D711" s="540"/>
      <c r="E711" s="541" t="s">
        <v>301</v>
      </c>
      <c r="F711" s="540"/>
      <c r="G711" s="189"/>
      <c r="H711" s="175"/>
      <c r="I711" s="729"/>
      <c r="J711" s="37"/>
      <c r="K711" s="38"/>
      <c r="L711" s="730"/>
      <c r="M711" s="189"/>
      <c r="N711" s="730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08"/>
      <c r="B712" s="540"/>
      <c r="C712" s="540"/>
      <c r="D712" s="540"/>
      <c r="E712" s="540"/>
      <c r="F712" s="541" t="s">
        <v>302</v>
      </c>
      <c r="G712" s="189"/>
      <c r="H712" s="182" t="s">
        <v>35</v>
      </c>
      <c r="I712" s="729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"),0)</f>
        <v>0</v>
      </c>
      <c r="K712" s="38"/>
      <c r="L712" s="730"/>
      <c r="M712" s="189"/>
      <c r="N712" s="730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08"/>
      <c r="B713" s="540"/>
      <c r="C713" s="540"/>
      <c r="D713" s="540"/>
      <c r="E713" s="540"/>
      <c r="F713" s="540"/>
      <c r="G713" s="189"/>
      <c r="H713" s="182" t="s">
        <v>34</v>
      </c>
      <c r="I713" s="729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"),0)</f>
        <v>0</v>
      </c>
      <c r="K713" s="38"/>
      <c r="L713" s="730"/>
      <c r="M713" s="189"/>
      <c r="N713" s="730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08"/>
      <c r="B714" s="540"/>
      <c r="C714" s="540"/>
      <c r="D714" s="540"/>
      <c r="E714" s="540"/>
      <c r="F714" s="540"/>
      <c r="G714" s="189"/>
      <c r="H714" s="182" t="s">
        <v>46</v>
      </c>
      <c r="I714" s="729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"),0)</f>
        <v>0</v>
      </c>
      <c r="K714" s="38"/>
      <c r="L714" s="730"/>
      <c r="M714" s="189"/>
      <c r="N714" s="730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08"/>
      <c r="B715" s="540"/>
      <c r="C715" s="540"/>
      <c r="D715" s="540"/>
      <c r="E715" s="540"/>
      <c r="F715" s="541" t="s">
        <v>303</v>
      </c>
      <c r="G715" s="189"/>
      <c r="H715" s="182" t="s">
        <v>35</v>
      </c>
      <c r="I715" s="729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0"/>
      <c r="M715" s="189"/>
      <c r="N715" s="730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08"/>
      <c r="B716" s="540"/>
      <c r="C716" s="540"/>
      <c r="D716" s="540"/>
      <c r="E716" s="540"/>
      <c r="F716" s="540"/>
      <c r="G716" s="189"/>
      <c r="H716" s="182" t="s">
        <v>34</v>
      </c>
      <c r="I716" s="729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0"/>
      <c r="M716" s="189"/>
      <c r="N716" s="730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08"/>
      <c r="B717" s="540"/>
      <c r="C717" s="540"/>
      <c r="D717" s="540"/>
      <c r="E717" s="540"/>
      <c r="F717" s="540"/>
      <c r="G717" s="189"/>
      <c r="H717" s="182" t="s">
        <v>46</v>
      </c>
      <c r="I717" s="729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0"/>
      <c r="M717" s="189"/>
      <c r="N717" s="730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08"/>
      <c r="B718" s="540"/>
      <c r="C718" s="540"/>
      <c r="D718" s="541" t="s">
        <v>304</v>
      </c>
      <c r="E718" s="540"/>
      <c r="F718" s="540"/>
      <c r="G718" s="189"/>
      <c r="H718" s="182" t="s">
        <v>35</v>
      </c>
      <c r="I718" s="729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"),1)</f>
        <v>1</v>
      </c>
      <c r="K718" s="38"/>
      <c r="L718" s="38"/>
      <c r="M718" s="189"/>
      <c r="N718" s="730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08"/>
      <c r="B719" s="540"/>
      <c r="C719" s="540"/>
      <c r="D719" s="540"/>
      <c r="E719" s="540"/>
      <c r="F719" s="540"/>
      <c r="G719" s="189"/>
      <c r="H719" s="182" t="s">
        <v>34</v>
      </c>
      <c r="I719" s="729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"),1)</f>
        <v>1</v>
      </c>
      <c r="K719" s="38"/>
      <c r="L719" s="730"/>
      <c r="M719" s="189"/>
      <c r="N719" s="730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08"/>
      <c r="B720" s="540"/>
      <c r="C720" s="540"/>
      <c r="D720" s="540"/>
      <c r="E720" s="540"/>
      <c r="F720" s="540"/>
      <c r="G720" s="189"/>
      <c r="H720" s="182" t="s">
        <v>46</v>
      </c>
      <c r="I720" s="729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"),10.05)</f>
        <v>10.050000000000001</v>
      </c>
      <c r="K720" s="38">
        <f t="shared" ref="K720:K723" ca="1" si="332">IF(I720&gt;0,J720*100/I720,0)</f>
        <v>0.26601376389624143</v>
      </c>
      <c r="L720" s="730"/>
      <c r="M720" s="189"/>
      <c r="N720" s="730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08"/>
      <c r="B721" s="540"/>
      <c r="C721" s="540"/>
      <c r="D721" s="541" t="s">
        <v>305</v>
      </c>
      <c r="E721" s="540"/>
      <c r="F721" s="540"/>
      <c r="G721" s="189"/>
      <c r="H721" s="716" t="s">
        <v>35</v>
      </c>
      <c r="I721" s="732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6</v>
      </c>
      <c r="K721" s="195">
        <f t="shared" ca="1" si="332"/>
        <v>5.7142857142857144</v>
      </c>
      <c r="L721" s="730"/>
      <c r="M721" s="189"/>
      <c r="N721" s="730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08"/>
      <c r="B722" s="540"/>
      <c r="C722" s="540"/>
      <c r="D722" s="540"/>
      <c r="E722" s="541"/>
      <c r="F722" s="540"/>
      <c r="G722" s="189"/>
      <c r="H722" s="716" t="s">
        <v>46</v>
      </c>
      <c r="I722" s="732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123.25</v>
      </c>
      <c r="K722" s="195">
        <f t="shared" ca="1" si="332"/>
        <v>7.4291742013261004</v>
      </c>
      <c r="L722" s="38"/>
      <c r="M722" s="189"/>
      <c r="N722" s="730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08"/>
      <c r="B723" s="540"/>
      <c r="C723" s="540"/>
      <c r="D723" s="540"/>
      <c r="E723" s="541" t="s">
        <v>306</v>
      </c>
      <c r="F723" s="540"/>
      <c r="G723" s="189"/>
      <c r="H723" s="182" t="s">
        <v>35</v>
      </c>
      <c r="I723" s="729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"),6)</f>
        <v>6</v>
      </c>
      <c r="K723" s="38">
        <f t="shared" ca="1" si="332"/>
        <v>7.7922077922077921</v>
      </c>
      <c r="L723" s="38"/>
      <c r="M723" s="189"/>
      <c r="N723" s="730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08"/>
      <c r="B724" s="540"/>
      <c r="C724" s="540"/>
      <c r="D724" s="540"/>
      <c r="E724" s="540"/>
      <c r="F724" s="540"/>
      <c r="G724" s="189"/>
      <c r="H724" s="182" t="s">
        <v>34</v>
      </c>
      <c r="I724" s="729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"),6)</f>
        <v>6</v>
      </c>
      <c r="K724" s="38"/>
      <c r="L724" s="730"/>
      <c r="M724" s="189"/>
      <c r="N724" s="730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08"/>
      <c r="B725" s="540"/>
      <c r="C725" s="540"/>
      <c r="D725" s="540"/>
      <c r="E725" s="540"/>
      <c r="F725" s="540"/>
      <c r="G725" s="189"/>
      <c r="H725" s="182" t="s">
        <v>46</v>
      </c>
      <c r="I725" s="729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"),123.25)</f>
        <v>123.25</v>
      </c>
      <c r="K725" s="38">
        <f t="shared" ref="K725:K726" ca="1" si="333">IF(I725&gt;0,J725*100/I725,0)</f>
        <v>8.5471567267683781</v>
      </c>
      <c r="L725" s="730"/>
      <c r="M725" s="189"/>
      <c r="N725" s="730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08"/>
      <c r="B726" s="540"/>
      <c r="C726" s="540"/>
      <c r="D726" s="540"/>
      <c r="E726" s="541" t="s">
        <v>307</v>
      </c>
      <c r="F726" s="540"/>
      <c r="G726" s="189"/>
      <c r="H726" s="182" t="s">
        <v>35</v>
      </c>
      <c r="I726" s="729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"),0)</f>
        <v>0</v>
      </c>
      <c r="K726" s="38">
        <f t="shared" ca="1" si="333"/>
        <v>0</v>
      </c>
      <c r="L726" s="38"/>
      <c r="M726" s="189"/>
      <c r="N726" s="730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08"/>
      <c r="B727" s="540"/>
      <c r="C727" s="540"/>
      <c r="D727" s="540"/>
      <c r="E727" s="540"/>
      <c r="F727" s="540"/>
      <c r="G727" s="189"/>
      <c r="H727" s="182" t="s">
        <v>34</v>
      </c>
      <c r="I727" s="729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"),0)</f>
        <v>0</v>
      </c>
      <c r="K727" s="38"/>
      <c r="L727" s="730"/>
      <c r="M727" s="189"/>
      <c r="N727" s="730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08"/>
      <c r="B728" s="540"/>
      <c r="C728" s="540"/>
      <c r="D728" s="540"/>
      <c r="E728" s="540"/>
      <c r="F728" s="540"/>
      <c r="G728" s="189"/>
      <c r="H728" s="182" t="s">
        <v>46</v>
      </c>
      <c r="I728" s="729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"),0)</f>
        <v>0</v>
      </c>
      <c r="K728" s="38">
        <f t="shared" ref="K728:K729" ca="1" si="334">IF(I728&gt;0,J728*100/I728,0)</f>
        <v>0</v>
      </c>
      <c r="L728" s="730"/>
      <c r="M728" s="189"/>
      <c r="N728" s="730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08"/>
      <c r="B729" s="540"/>
      <c r="C729" s="540"/>
      <c r="D729" s="541" t="s">
        <v>308</v>
      </c>
      <c r="E729" s="540"/>
      <c r="F729" s="540"/>
      <c r="G729" s="189"/>
      <c r="H729" s="192" t="s">
        <v>46</v>
      </c>
      <c r="I729" s="732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151.72</v>
      </c>
      <c r="K729" s="195">
        <f t="shared" ca="1" si="334"/>
        <v>72.247619047619054</v>
      </c>
      <c r="L729" s="38"/>
      <c r="M729" s="189"/>
      <c r="N729" s="730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08"/>
      <c r="B730" s="540"/>
      <c r="C730" s="540"/>
      <c r="D730" s="540"/>
      <c r="E730" s="541" t="s">
        <v>309</v>
      </c>
      <c r="F730" s="540"/>
      <c r="G730" s="189"/>
      <c r="H730" s="182" t="s">
        <v>35</v>
      </c>
      <c r="I730" s="729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"),5)</f>
        <v>5</v>
      </c>
      <c r="K730" s="38"/>
      <c r="L730" s="730"/>
      <c r="M730" s="38"/>
      <c r="N730" s="730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08"/>
      <c r="B731" s="540"/>
      <c r="C731" s="540"/>
      <c r="D731" s="540"/>
      <c r="E731" s="540"/>
      <c r="F731" s="540"/>
      <c r="G731" s="189"/>
      <c r="H731" s="182" t="s">
        <v>34</v>
      </c>
      <c r="I731" s="729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"),5)</f>
        <v>5</v>
      </c>
      <c r="K731" s="38"/>
      <c r="L731" s="730"/>
      <c r="M731" s="38"/>
      <c r="N731" s="730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08"/>
      <c r="B732" s="540"/>
      <c r="C732" s="540"/>
      <c r="D732" s="540"/>
      <c r="E732" s="540"/>
      <c r="F732" s="540"/>
      <c r="G732" s="189"/>
      <c r="H732" s="182" t="s">
        <v>46</v>
      </c>
      <c r="I732" s="729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"),94.48)</f>
        <v>94.48</v>
      </c>
      <c r="K732" s="38"/>
      <c r="L732" s="730"/>
      <c r="M732" s="38"/>
      <c r="N732" s="730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08"/>
      <c r="B733" s="540"/>
      <c r="C733" s="540"/>
      <c r="D733" s="540"/>
      <c r="E733" s="541" t="s">
        <v>310</v>
      </c>
      <c r="F733" s="540"/>
      <c r="G733" s="189"/>
      <c r="H733" s="182" t="s">
        <v>35</v>
      </c>
      <c r="I733" s="729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"),3)</f>
        <v>3</v>
      </c>
      <c r="K733" s="38"/>
      <c r="L733" s="730"/>
      <c r="M733" s="38"/>
      <c r="N733" s="730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08"/>
      <c r="B734" s="540"/>
      <c r="C734" s="540"/>
      <c r="D734" s="540"/>
      <c r="E734" s="540"/>
      <c r="F734" s="540"/>
      <c r="G734" s="189"/>
      <c r="H734" s="182" t="s">
        <v>34</v>
      </c>
      <c r="I734" s="729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"),3)</f>
        <v>3</v>
      </c>
      <c r="K734" s="38"/>
      <c r="L734" s="730"/>
      <c r="M734" s="38"/>
      <c r="N734" s="730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"),57.24)</f>
        <v>57.24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565"/>
      <c r="C737" s="565" t="s">
        <v>16</v>
      </c>
      <c r="D737" s="808" t="s">
        <v>17</v>
      </c>
      <c r="E737" s="804"/>
      <c r="F737" s="804"/>
      <c r="G737" s="568"/>
      <c r="H737" s="612" t="s">
        <v>12</v>
      </c>
      <c r="I737" s="44"/>
      <c r="J737" s="44"/>
      <c r="K737" s="45"/>
      <c r="L737" s="613">
        <f t="shared" ref="L737:N737" si="335">L738+L739</f>
        <v>0</v>
      </c>
      <c r="M737" s="613">
        <f t="shared" si="335"/>
        <v>0</v>
      </c>
      <c r="N737" s="613">
        <f t="shared" si="335"/>
        <v>0</v>
      </c>
      <c r="O737" s="613">
        <f t="shared" ref="O737:O742" si="336">IF(L737&gt;0,N737*100/L737,0)</f>
        <v>0</v>
      </c>
      <c r="P737" s="613">
        <f t="shared" ref="P737:P742" si="337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565"/>
      <c r="C738" s="565"/>
      <c r="D738" s="566"/>
      <c r="E738" s="567" t="s">
        <v>184</v>
      </c>
      <c r="F738" s="565"/>
      <c r="G738" s="568"/>
      <c r="H738" s="165" t="s">
        <v>12</v>
      </c>
      <c r="I738" s="44"/>
      <c r="J738" s="44"/>
      <c r="K738" s="45"/>
      <c r="L738" s="45">
        <f t="shared" ref="L738:N738" si="338">L741+L748</f>
        <v>0</v>
      </c>
      <c r="M738" s="45">
        <f t="shared" si="338"/>
        <v>0</v>
      </c>
      <c r="N738" s="45">
        <f t="shared" si="338"/>
        <v>0</v>
      </c>
      <c r="O738" s="45">
        <f t="shared" si="336"/>
        <v>0</v>
      </c>
      <c r="P738" s="45">
        <f t="shared" si="337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0"/>
      <c r="C739" s="565"/>
      <c r="D739" s="566"/>
      <c r="E739" s="567" t="s">
        <v>185</v>
      </c>
      <c r="F739" s="565"/>
      <c r="G739" s="568"/>
      <c r="H739" s="165" t="s">
        <v>12</v>
      </c>
      <c r="I739" s="44"/>
      <c r="J739" s="44"/>
      <c r="K739" s="45"/>
      <c r="L739" s="45">
        <f t="shared" ref="L739:N739" si="339">L742+L749</f>
        <v>0</v>
      </c>
      <c r="M739" s="45">
        <f t="shared" si="339"/>
        <v>0</v>
      </c>
      <c r="N739" s="45">
        <f t="shared" si="339"/>
        <v>0</v>
      </c>
      <c r="O739" s="45">
        <f t="shared" si="336"/>
        <v>0</v>
      </c>
      <c r="P739" s="45">
        <f t="shared" si="337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0"/>
      <c r="C740" s="565"/>
      <c r="D740" s="746" t="s">
        <v>20</v>
      </c>
      <c r="E740" s="565"/>
      <c r="F740" s="565"/>
      <c r="G740" s="568"/>
      <c r="H740" s="612" t="s">
        <v>12</v>
      </c>
      <c r="I740" s="166"/>
      <c r="J740" s="166"/>
      <c r="K740" s="167"/>
      <c r="L740" s="613">
        <f t="shared" ref="L740:N740" si="340">L741+L742</f>
        <v>0</v>
      </c>
      <c r="M740" s="613">
        <f t="shared" si="340"/>
        <v>0</v>
      </c>
      <c r="N740" s="613">
        <f t="shared" si="340"/>
        <v>0</v>
      </c>
      <c r="O740" s="613">
        <f t="shared" si="336"/>
        <v>0</v>
      </c>
      <c r="P740" s="613">
        <f t="shared" si="337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0"/>
      <c r="C741" s="565"/>
      <c r="D741" s="566"/>
      <c r="E741" s="567" t="s">
        <v>184</v>
      </c>
      <c r="F741" s="565"/>
      <c r="G741" s="56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6"/>
        <v>0</v>
      </c>
      <c r="P741" s="45">
        <f t="shared" si="337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0"/>
      <c r="C742" s="565"/>
      <c r="D742" s="566"/>
      <c r="E742" s="567" t="s">
        <v>185</v>
      </c>
      <c r="F742" s="565"/>
      <c r="G742" s="56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6"/>
        <v>0</v>
      </c>
      <c r="P742" s="45">
        <f t="shared" si="337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0"/>
      <c r="C743" s="565"/>
      <c r="D743" s="565"/>
      <c r="E743" s="565"/>
      <c r="F743" s="567" t="s">
        <v>186</v>
      </c>
      <c r="G743" s="56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0"/>
      <c r="C744" s="565"/>
      <c r="D744" s="565"/>
      <c r="E744" s="565"/>
      <c r="F744" s="567" t="s">
        <v>187</v>
      </c>
      <c r="G744" s="56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0"/>
      <c r="C745" s="565"/>
      <c r="D745" s="565"/>
      <c r="E745" s="565"/>
      <c r="F745" s="567" t="s">
        <v>188</v>
      </c>
      <c r="G745" s="56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0"/>
      <c r="C746" s="565"/>
      <c r="D746" s="565"/>
      <c r="E746" s="565"/>
      <c r="F746" s="567" t="s">
        <v>189</v>
      </c>
      <c r="G746" s="56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0"/>
      <c r="C747" s="565"/>
      <c r="D747" s="746" t="s">
        <v>21</v>
      </c>
      <c r="E747" s="565"/>
      <c r="F747" s="565"/>
      <c r="G747" s="568"/>
      <c r="H747" s="747" t="s">
        <v>12</v>
      </c>
      <c r="I747" s="166"/>
      <c r="J747" s="166"/>
      <c r="K747" s="167"/>
      <c r="L747" s="613">
        <f t="shared" ref="L747:N747" si="341">L748+L749</f>
        <v>0</v>
      </c>
      <c r="M747" s="613">
        <f t="shared" si="341"/>
        <v>0</v>
      </c>
      <c r="N747" s="613">
        <f t="shared" si="341"/>
        <v>0</v>
      </c>
      <c r="O747" s="613">
        <f t="shared" ref="O747:O749" si="342">IF(L747&gt;0,N747*100/L747,0)</f>
        <v>0</v>
      </c>
      <c r="P747" s="613">
        <f t="shared" ref="P747:P749" si="343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0"/>
      <c r="C748" s="565"/>
      <c r="D748" s="565"/>
      <c r="E748" s="567" t="s">
        <v>18</v>
      </c>
      <c r="F748" s="565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2"/>
        <v>0</v>
      </c>
      <c r="P748" s="45">
        <f t="shared" si="343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0"/>
      <c r="C749" s="565"/>
      <c r="D749" s="565"/>
      <c r="E749" s="567" t="s">
        <v>19</v>
      </c>
      <c r="F749" s="565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2"/>
        <v>0</v>
      </c>
      <c r="P749" s="45">
        <f t="shared" si="343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0"/>
      <c r="C750" s="565" t="s">
        <v>16</v>
      </c>
      <c r="D750" s="748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0"/>
      <c r="C751" s="565"/>
      <c r="D751" s="565"/>
      <c r="E751" s="567" t="s">
        <v>313</v>
      </c>
      <c r="F751" s="565"/>
      <c r="G751" s="56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0"/>
      <c r="C752" s="565"/>
      <c r="D752" s="565"/>
      <c r="E752" s="565"/>
      <c r="F752" s="565"/>
      <c r="G752" s="568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565"/>
      <c r="C754" s="565" t="s">
        <v>16</v>
      </c>
      <c r="D754" s="808" t="s">
        <v>17</v>
      </c>
      <c r="E754" s="804"/>
      <c r="F754" s="804"/>
      <c r="G754" s="568"/>
      <c r="H754" s="612" t="s">
        <v>12</v>
      </c>
      <c r="I754" s="44"/>
      <c r="J754" s="44"/>
      <c r="K754" s="45"/>
      <c r="L754" s="613">
        <f t="shared" ref="L754:N754" si="344">L755+L756</f>
        <v>0</v>
      </c>
      <c r="M754" s="613">
        <f t="shared" si="344"/>
        <v>0</v>
      </c>
      <c r="N754" s="613">
        <f t="shared" si="344"/>
        <v>0</v>
      </c>
      <c r="O754" s="613">
        <f t="shared" ref="O754:O759" si="345">IF(L754&gt;0,N754*100/L754,0)</f>
        <v>0</v>
      </c>
      <c r="P754" s="613">
        <f t="shared" ref="P754:P759" si="346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565"/>
      <c r="C755" s="565"/>
      <c r="D755" s="566"/>
      <c r="E755" s="567" t="s">
        <v>184</v>
      </c>
      <c r="F755" s="565"/>
      <c r="G755" s="568"/>
      <c r="H755" s="165" t="s">
        <v>12</v>
      </c>
      <c r="I755" s="44"/>
      <c r="J755" s="44"/>
      <c r="K755" s="45"/>
      <c r="L755" s="45">
        <f t="shared" ref="L755:N755" si="347">L758+L765</f>
        <v>0</v>
      </c>
      <c r="M755" s="45">
        <f t="shared" si="347"/>
        <v>0</v>
      </c>
      <c r="N755" s="45">
        <f t="shared" si="347"/>
        <v>0</v>
      </c>
      <c r="O755" s="45">
        <f t="shared" si="345"/>
        <v>0</v>
      </c>
      <c r="P755" s="45">
        <f t="shared" si="346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0"/>
      <c r="C756" s="565"/>
      <c r="D756" s="566"/>
      <c r="E756" s="567" t="s">
        <v>185</v>
      </c>
      <c r="F756" s="565"/>
      <c r="G756" s="568"/>
      <c r="H756" s="165" t="s">
        <v>12</v>
      </c>
      <c r="I756" s="44"/>
      <c r="J756" s="44"/>
      <c r="K756" s="45"/>
      <c r="L756" s="45">
        <f t="shared" ref="L756:N756" si="348">L759+L766</f>
        <v>0</v>
      </c>
      <c r="M756" s="45">
        <f t="shared" si="348"/>
        <v>0</v>
      </c>
      <c r="N756" s="45">
        <f t="shared" si="348"/>
        <v>0</v>
      </c>
      <c r="O756" s="45">
        <f t="shared" si="345"/>
        <v>0</v>
      </c>
      <c r="P756" s="45">
        <f t="shared" si="346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0"/>
      <c r="C757" s="565"/>
      <c r="D757" s="746" t="s">
        <v>20</v>
      </c>
      <c r="E757" s="565"/>
      <c r="F757" s="565"/>
      <c r="G757" s="568"/>
      <c r="H757" s="612" t="s">
        <v>12</v>
      </c>
      <c r="I757" s="166"/>
      <c r="J757" s="166"/>
      <c r="K757" s="167"/>
      <c r="L757" s="613">
        <f t="shared" ref="L757:N757" si="349">L758+L759</f>
        <v>0</v>
      </c>
      <c r="M757" s="613">
        <f t="shared" si="349"/>
        <v>0</v>
      </c>
      <c r="N757" s="613">
        <f t="shared" si="349"/>
        <v>0</v>
      </c>
      <c r="O757" s="613">
        <f t="shared" si="345"/>
        <v>0</v>
      </c>
      <c r="P757" s="613">
        <f t="shared" si="346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0"/>
      <c r="C758" s="565"/>
      <c r="D758" s="566"/>
      <c r="E758" s="567" t="s">
        <v>184</v>
      </c>
      <c r="F758" s="565"/>
      <c r="G758" s="56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5"/>
        <v>0</v>
      </c>
      <c r="P758" s="45">
        <f t="shared" si="346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0"/>
      <c r="C759" s="565"/>
      <c r="D759" s="566"/>
      <c r="E759" s="567" t="s">
        <v>185</v>
      </c>
      <c r="F759" s="565"/>
      <c r="G759" s="56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5"/>
        <v>0</v>
      </c>
      <c r="P759" s="45">
        <f t="shared" si="346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0"/>
      <c r="C760" s="565"/>
      <c r="D760" s="565"/>
      <c r="E760" s="565"/>
      <c r="F760" s="567" t="s">
        <v>186</v>
      </c>
      <c r="G760" s="56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0"/>
      <c r="C761" s="565"/>
      <c r="D761" s="565"/>
      <c r="E761" s="565"/>
      <c r="F761" s="567" t="s">
        <v>187</v>
      </c>
      <c r="G761" s="56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0"/>
      <c r="C762" s="565"/>
      <c r="D762" s="565"/>
      <c r="E762" s="565"/>
      <c r="F762" s="567" t="s">
        <v>188</v>
      </c>
      <c r="G762" s="56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0"/>
      <c r="C763" s="565"/>
      <c r="D763" s="565"/>
      <c r="E763" s="565"/>
      <c r="F763" s="567" t="s">
        <v>189</v>
      </c>
      <c r="G763" s="56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0"/>
      <c r="C764" s="565"/>
      <c r="D764" s="746" t="s">
        <v>21</v>
      </c>
      <c r="E764" s="565"/>
      <c r="F764" s="565"/>
      <c r="G764" s="568"/>
      <c r="H764" s="747" t="s">
        <v>12</v>
      </c>
      <c r="I764" s="166"/>
      <c r="J764" s="166"/>
      <c r="K764" s="167"/>
      <c r="L764" s="613">
        <f t="shared" ref="L764:N764" si="350">L765+L766</f>
        <v>0</v>
      </c>
      <c r="M764" s="613">
        <f t="shared" si="350"/>
        <v>0</v>
      </c>
      <c r="N764" s="613">
        <f t="shared" si="350"/>
        <v>0</v>
      </c>
      <c r="O764" s="613">
        <f t="shared" ref="O764:O766" si="351">IF(L764&gt;0,N764*100/L764,0)</f>
        <v>0</v>
      </c>
      <c r="P764" s="613">
        <f t="shared" ref="P764:P766" si="352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0"/>
      <c r="C765" s="565"/>
      <c r="D765" s="565"/>
      <c r="E765" s="567" t="s">
        <v>18</v>
      </c>
      <c r="F765" s="565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1"/>
        <v>0</v>
      </c>
      <c r="P765" s="45">
        <f t="shared" si="352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0"/>
      <c r="C766" s="565"/>
      <c r="D766" s="565"/>
      <c r="E766" s="567" t="s">
        <v>19</v>
      </c>
      <c r="F766" s="565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1"/>
        <v>0</v>
      </c>
      <c r="P766" s="45">
        <f t="shared" si="352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0"/>
      <c r="C767" s="565" t="s">
        <v>16</v>
      </c>
      <c r="D767" s="748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0"/>
      <c r="C768" s="565"/>
      <c r="D768" s="565"/>
      <c r="E768" s="567" t="s">
        <v>316</v>
      </c>
      <c r="F768" s="565"/>
      <c r="G768" s="56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J1074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565"/>
      <c r="C770" s="565" t="s">
        <v>16</v>
      </c>
      <c r="D770" s="808" t="s">
        <v>17</v>
      </c>
      <c r="E770" s="804"/>
      <c r="F770" s="804"/>
      <c r="G770" s="568"/>
      <c r="H770" s="612" t="s">
        <v>12</v>
      </c>
      <c r="I770" s="44"/>
      <c r="J770" s="44"/>
      <c r="K770" s="45"/>
      <c r="L770" s="613">
        <f t="shared" ref="L770:N770" si="353">L771+L772</f>
        <v>0</v>
      </c>
      <c r="M770" s="613">
        <f t="shared" si="353"/>
        <v>0</v>
      </c>
      <c r="N770" s="613">
        <f t="shared" si="353"/>
        <v>0</v>
      </c>
      <c r="O770" s="613">
        <f t="shared" ref="O770:O775" si="354">IF(L770&gt;0,N770*100/L770,0)</f>
        <v>0</v>
      </c>
      <c r="P770" s="613">
        <f t="shared" ref="P770:P775" si="355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565"/>
      <c r="C771" s="565"/>
      <c r="D771" s="566"/>
      <c r="E771" s="567" t="s">
        <v>184</v>
      </c>
      <c r="F771" s="565"/>
      <c r="G771" s="568"/>
      <c r="H771" s="165" t="s">
        <v>12</v>
      </c>
      <c r="I771" s="44"/>
      <c r="J771" s="44"/>
      <c r="K771" s="45"/>
      <c r="L771" s="45">
        <f t="shared" ref="L771:N771" si="356">L774+L781</f>
        <v>0</v>
      </c>
      <c r="M771" s="45">
        <f t="shared" si="356"/>
        <v>0</v>
      </c>
      <c r="N771" s="45">
        <f t="shared" si="356"/>
        <v>0</v>
      </c>
      <c r="O771" s="45">
        <f t="shared" si="354"/>
        <v>0</v>
      </c>
      <c r="P771" s="45">
        <f t="shared" si="355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0"/>
      <c r="C772" s="565"/>
      <c r="D772" s="566"/>
      <c r="E772" s="567" t="s">
        <v>185</v>
      </c>
      <c r="F772" s="565"/>
      <c r="G772" s="568"/>
      <c r="H772" s="165" t="s">
        <v>12</v>
      </c>
      <c r="I772" s="44"/>
      <c r="J772" s="44"/>
      <c r="K772" s="45"/>
      <c r="L772" s="45">
        <f t="shared" ref="L772:N772" si="357">L775+L782</f>
        <v>0</v>
      </c>
      <c r="M772" s="45">
        <f t="shared" si="357"/>
        <v>0</v>
      </c>
      <c r="N772" s="45">
        <f t="shared" si="357"/>
        <v>0</v>
      </c>
      <c r="O772" s="45">
        <f t="shared" si="354"/>
        <v>0</v>
      </c>
      <c r="P772" s="45">
        <f t="shared" si="355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0"/>
      <c r="C773" s="565"/>
      <c r="D773" s="746" t="s">
        <v>20</v>
      </c>
      <c r="E773" s="565"/>
      <c r="F773" s="565"/>
      <c r="G773" s="568"/>
      <c r="H773" s="612" t="s">
        <v>12</v>
      </c>
      <c r="I773" s="166"/>
      <c r="J773" s="166"/>
      <c r="K773" s="167"/>
      <c r="L773" s="613">
        <f t="shared" ref="L773:N773" si="358">L774+L775</f>
        <v>0</v>
      </c>
      <c r="M773" s="613">
        <f t="shared" si="358"/>
        <v>0</v>
      </c>
      <c r="N773" s="613">
        <f t="shared" si="358"/>
        <v>0</v>
      </c>
      <c r="O773" s="613">
        <f t="shared" si="354"/>
        <v>0</v>
      </c>
      <c r="P773" s="613">
        <f t="shared" si="355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0"/>
      <c r="C774" s="565"/>
      <c r="D774" s="566"/>
      <c r="E774" s="567" t="s">
        <v>184</v>
      </c>
      <c r="F774" s="565"/>
      <c r="G774" s="56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4"/>
        <v>0</v>
      </c>
      <c r="P774" s="45">
        <f t="shared" si="355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0"/>
      <c r="C775" s="565"/>
      <c r="D775" s="566"/>
      <c r="E775" s="567" t="s">
        <v>185</v>
      </c>
      <c r="F775" s="565"/>
      <c r="G775" s="56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4"/>
        <v>0</v>
      </c>
      <c r="P775" s="45">
        <f t="shared" si="355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0"/>
      <c r="C776" s="565"/>
      <c r="D776" s="565"/>
      <c r="E776" s="565"/>
      <c r="F776" s="567" t="s">
        <v>186</v>
      </c>
      <c r="G776" s="56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0"/>
      <c r="C777" s="565"/>
      <c r="D777" s="565"/>
      <c r="E777" s="565"/>
      <c r="F777" s="567" t="s">
        <v>187</v>
      </c>
      <c r="G777" s="56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0"/>
      <c r="C778" s="565"/>
      <c r="D778" s="565"/>
      <c r="E778" s="565"/>
      <c r="F778" s="567" t="s">
        <v>188</v>
      </c>
      <c r="G778" s="56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0"/>
      <c r="C779" s="565"/>
      <c r="D779" s="565"/>
      <c r="E779" s="565"/>
      <c r="F779" s="567" t="s">
        <v>189</v>
      </c>
      <c r="G779" s="56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0"/>
      <c r="C780" s="565"/>
      <c r="D780" s="746" t="s">
        <v>21</v>
      </c>
      <c r="E780" s="565"/>
      <c r="F780" s="565"/>
      <c r="G780" s="568"/>
      <c r="H780" s="747" t="s">
        <v>12</v>
      </c>
      <c r="I780" s="166"/>
      <c r="J780" s="166"/>
      <c r="K780" s="167"/>
      <c r="L780" s="613">
        <f t="shared" ref="L780:N780" si="359">L781+L782</f>
        <v>0</v>
      </c>
      <c r="M780" s="613">
        <f t="shared" si="359"/>
        <v>0</v>
      </c>
      <c r="N780" s="613">
        <f t="shared" si="359"/>
        <v>0</v>
      </c>
      <c r="O780" s="613">
        <f t="shared" ref="O780:O782" si="360">IF(L780&gt;0,N780*100/L780,0)</f>
        <v>0</v>
      </c>
      <c r="P780" s="613">
        <f t="shared" ref="P780:P782" si="361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0"/>
      <c r="C781" s="565"/>
      <c r="D781" s="565"/>
      <c r="E781" s="567" t="s">
        <v>18</v>
      </c>
      <c r="F781" s="565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0"/>
        <v>0</v>
      </c>
      <c r="P781" s="45">
        <f t="shared" si="361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0"/>
      <c r="C782" s="565"/>
      <c r="D782" s="565"/>
      <c r="E782" s="567" t="s">
        <v>19</v>
      </c>
      <c r="F782" s="565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0"/>
        <v>0</v>
      </c>
      <c r="P782" s="45">
        <f t="shared" si="361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0"/>
      <c r="C783" s="565" t="s">
        <v>16</v>
      </c>
      <c r="D783" s="748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0"/>
      <c r="C784" s="565"/>
      <c r="D784" s="565"/>
      <c r="E784" s="567" t="s">
        <v>318</v>
      </c>
      <c r="F784" s="565"/>
      <c r="G784" s="56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62">I801+I803</f>
        <v>148000</v>
      </c>
      <c r="J785" s="771">
        <f t="shared" ca="1" si="362"/>
        <v>13361</v>
      </c>
      <c r="K785" s="772">
        <f ca="1">IF(I785&gt;0,J785*100/I785,0)</f>
        <v>9.0277027027027028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540" t="s">
        <v>16</v>
      </c>
      <c r="D786" s="803" t="s">
        <v>17</v>
      </c>
      <c r="E786" s="804"/>
      <c r="F786" s="804"/>
      <c r="G786" s="189"/>
      <c r="H786" s="563" t="s">
        <v>12</v>
      </c>
      <c r="I786" s="37"/>
      <c r="J786" s="37"/>
      <c r="K786" s="38"/>
      <c r="L786" s="195">
        <f t="shared" ref="L786:N786" ca="1" si="363">L787+L788</f>
        <v>1668000</v>
      </c>
      <c r="M786" s="195">
        <f t="shared" si="363"/>
        <v>0</v>
      </c>
      <c r="N786" s="195">
        <f t="shared" ca="1" si="363"/>
        <v>368490.63</v>
      </c>
      <c r="O786" s="195">
        <f t="shared" ref="O786:O791" ca="1" si="364">IF(L786&gt;0,N786*100/L786,0)</f>
        <v>22.09176438848921</v>
      </c>
      <c r="P786" s="195">
        <f t="shared" ref="P786:P791" si="365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0"/>
      <c r="C787" s="565"/>
      <c r="D787" s="566"/>
      <c r="E787" s="567" t="s">
        <v>184</v>
      </c>
      <c r="F787" s="565"/>
      <c r="G787" s="568"/>
      <c r="H787" s="165" t="s">
        <v>12</v>
      </c>
      <c r="I787" s="44"/>
      <c r="J787" s="44"/>
      <c r="K787" s="45"/>
      <c r="L787" s="45">
        <f t="shared" ref="L787:N787" si="366">L790+L797</f>
        <v>0</v>
      </c>
      <c r="M787" s="45">
        <f t="shared" si="366"/>
        <v>0</v>
      </c>
      <c r="N787" s="45">
        <f t="shared" si="366"/>
        <v>0</v>
      </c>
      <c r="O787" s="45">
        <f t="shared" si="364"/>
        <v>0</v>
      </c>
      <c r="P787" s="45">
        <f t="shared" si="365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0"/>
      <c r="C788" s="570"/>
      <c r="D788" s="580"/>
      <c r="E788" s="567" t="s">
        <v>185</v>
      </c>
      <c r="F788" s="565"/>
      <c r="G788" s="568"/>
      <c r="H788" s="165" t="s">
        <v>12</v>
      </c>
      <c r="I788" s="44"/>
      <c r="J788" s="44"/>
      <c r="K788" s="45"/>
      <c r="L788" s="45">
        <f t="shared" ref="L788:N788" ca="1" si="367">L791+L798</f>
        <v>1668000</v>
      </c>
      <c r="M788" s="45">
        <f t="shared" si="367"/>
        <v>0</v>
      </c>
      <c r="N788" s="45">
        <f t="shared" ca="1" si="367"/>
        <v>368490.63</v>
      </c>
      <c r="O788" s="45">
        <f t="shared" ca="1" si="364"/>
        <v>22.09176438848921</v>
      </c>
      <c r="P788" s="45">
        <f t="shared" si="365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540"/>
      <c r="F789" s="540"/>
      <c r="G789" s="189"/>
      <c r="H789" s="161" t="s">
        <v>12</v>
      </c>
      <c r="I789" s="162"/>
      <c r="J789" s="162"/>
      <c r="K789" s="163"/>
      <c r="L789" s="38">
        <f t="shared" ref="L789:N789" ca="1" si="368">L790+L791</f>
        <v>1668000</v>
      </c>
      <c r="M789" s="38">
        <f t="shared" si="368"/>
        <v>0</v>
      </c>
      <c r="N789" s="38">
        <f t="shared" ca="1" si="368"/>
        <v>368490.63</v>
      </c>
      <c r="O789" s="38">
        <f t="shared" ca="1" si="364"/>
        <v>22.09176438848921</v>
      </c>
      <c r="P789" s="38">
        <f t="shared" si="365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0"/>
      <c r="C790" s="570"/>
      <c r="D790" s="580"/>
      <c r="E790" s="567" t="s">
        <v>184</v>
      </c>
      <c r="F790" s="565"/>
      <c r="G790" s="568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4"/>
        <v>0</v>
      </c>
      <c r="P790" s="45">
        <f t="shared" si="365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0"/>
      <c r="C791" s="570"/>
      <c r="D791" s="580"/>
      <c r="E791" s="567" t="s">
        <v>185</v>
      </c>
      <c r="F791" s="565"/>
      <c r="G791" s="568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v>0</v>
      </c>
      <c r="N791" s="45">
        <f ca="1">N792+N793+N794+N795</f>
        <v>368490.63</v>
      </c>
      <c r="O791" s="45">
        <f t="shared" ca="1" si="364"/>
        <v>22.09176438848921</v>
      </c>
      <c r="P791" s="45">
        <f t="shared" si="365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540"/>
      <c r="D792" s="540"/>
      <c r="E792" s="540"/>
      <c r="F792" s="541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540"/>
      <c r="D793" s="540"/>
      <c r="E793" s="540"/>
      <c r="F793" s="541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"),31840)</f>
        <v>31840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540"/>
      <c r="D794" s="540"/>
      <c r="E794" s="540"/>
      <c r="F794" s="541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"),127051.68)</f>
        <v>127051.68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540"/>
      <c r="D795" s="540"/>
      <c r="E795" s="540"/>
      <c r="F795" s="541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"),209598.95)</f>
        <v>209598.95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540"/>
      <c r="D796" s="571" t="s">
        <v>21</v>
      </c>
      <c r="E796" s="540"/>
      <c r="F796" s="540"/>
      <c r="G796" s="189"/>
      <c r="H796" s="168" t="s">
        <v>12</v>
      </c>
      <c r="I796" s="162"/>
      <c r="J796" s="162"/>
      <c r="K796" s="163"/>
      <c r="L796" s="38">
        <f t="shared" ref="L796:N796" si="369">L797+L798</f>
        <v>0</v>
      </c>
      <c r="M796" s="38">
        <f t="shared" si="369"/>
        <v>0</v>
      </c>
      <c r="N796" s="38">
        <f t="shared" si="369"/>
        <v>0</v>
      </c>
      <c r="O796" s="38">
        <f t="shared" ref="O796:O798" si="370">IF(L796&gt;0,N796*100/L796,0)</f>
        <v>0</v>
      </c>
      <c r="P796" s="38">
        <f t="shared" ref="P796:P798" si="371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0"/>
      <c r="C797" s="565"/>
      <c r="D797" s="565"/>
      <c r="E797" s="567" t="s">
        <v>18</v>
      </c>
      <c r="F797" s="565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0"/>
        <v>0</v>
      </c>
      <c r="P797" s="45">
        <f t="shared" si="371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0"/>
      <c r="C798" s="565"/>
      <c r="D798" s="565"/>
      <c r="E798" s="567" t="s">
        <v>19</v>
      </c>
      <c r="F798" s="565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0"/>
        <v>0</v>
      </c>
      <c r="P798" s="45">
        <f t="shared" si="371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74"/>
      <c r="C799" s="540" t="s">
        <v>16</v>
      </c>
      <c r="D799" s="724" t="s">
        <v>38</v>
      </c>
      <c r="E799" s="577"/>
      <c r="F799" s="577"/>
      <c r="G799" s="578"/>
      <c r="H799" s="774"/>
      <c r="I799" s="162"/>
      <c r="J799" s="162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74"/>
      <c r="C800" s="574"/>
      <c r="D800" s="574"/>
      <c r="E800" s="586"/>
      <c r="F800" s="187" t="s">
        <v>320</v>
      </c>
      <c r="G800" s="175"/>
      <c r="H800" s="775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"),138)</f>
        <v>138</v>
      </c>
      <c r="K800" s="38"/>
      <c r="L800" s="38"/>
      <c r="M800" s="38"/>
      <c r="N800" s="38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74"/>
      <c r="C801" s="574"/>
      <c r="D801" s="574"/>
      <c r="E801" s="586"/>
      <c r="F801" s="586"/>
      <c r="G801" s="175"/>
      <c r="H801" s="776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"),2062)</f>
        <v>2062</v>
      </c>
      <c r="K801" s="38">
        <f ca="1">IF(I801&gt;0,J801*100/I801,0)</f>
        <v>8.2479999999999993</v>
      </c>
      <c r="L801" s="38"/>
      <c r="M801" s="38"/>
      <c r="N801" s="38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777"/>
      <c r="B802" s="778"/>
      <c r="C802" s="778"/>
      <c r="D802" s="778"/>
      <c r="E802" s="779"/>
      <c r="F802" s="780" t="s">
        <v>321</v>
      </c>
      <c r="G802" s="333"/>
      <c r="H802" s="781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"),717)</f>
        <v>717</v>
      </c>
      <c r="K802" s="321"/>
      <c r="L802" s="321"/>
      <c r="M802" s="321"/>
      <c r="N802" s="321"/>
      <c r="O802" s="321"/>
      <c r="P802" s="321"/>
      <c r="Q802" s="782"/>
      <c r="R802" s="782"/>
      <c r="S802" s="782"/>
      <c r="T802" s="782"/>
      <c r="U802" s="782"/>
      <c r="V802" s="782"/>
      <c r="W802" s="782"/>
      <c r="X802" s="782"/>
      <c r="Y802" s="782"/>
      <c r="Z802" s="782"/>
    </row>
    <row r="803" spans="1:26" ht="18.75">
      <c r="A803" s="777"/>
      <c r="B803" s="778"/>
      <c r="C803" s="778"/>
      <c r="D803" s="778"/>
      <c r="E803" s="779"/>
      <c r="F803" s="779"/>
      <c r="G803" s="333"/>
      <c r="H803" s="781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"),11299)</f>
        <v>11299</v>
      </c>
      <c r="K803" s="321">
        <f t="shared" ref="K803:K804" ca="1" si="372">IF(I803&gt;0,J803*100/I803,0)</f>
        <v>9.1861788617886173</v>
      </c>
      <c r="L803" s="321"/>
      <c r="M803" s="321"/>
      <c r="N803" s="321"/>
      <c r="O803" s="321"/>
      <c r="P803" s="321"/>
      <c r="Q803" s="782"/>
      <c r="R803" s="782"/>
      <c r="S803" s="782"/>
      <c r="T803" s="782"/>
      <c r="U803" s="782"/>
      <c r="V803" s="782"/>
      <c r="W803" s="782"/>
      <c r="X803" s="782"/>
      <c r="Y803" s="782"/>
      <c r="Z803" s="782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72"/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565"/>
      <c r="C805" s="565" t="s">
        <v>16</v>
      </c>
      <c r="D805" s="808" t="s">
        <v>17</v>
      </c>
      <c r="E805" s="804"/>
      <c r="F805" s="804"/>
      <c r="G805" s="568"/>
      <c r="H805" s="612" t="s">
        <v>12</v>
      </c>
      <c r="I805" s="44"/>
      <c r="J805" s="44"/>
      <c r="K805" s="45"/>
      <c r="L805" s="613">
        <f t="shared" ref="L805:N805" si="373">L806+L807</f>
        <v>0</v>
      </c>
      <c r="M805" s="613">
        <f t="shared" si="373"/>
        <v>0</v>
      </c>
      <c r="N805" s="613">
        <f t="shared" si="373"/>
        <v>0</v>
      </c>
      <c r="O805" s="613">
        <f t="shared" ref="O805:O810" si="374">IF(L805&gt;0,N805*100/L805,0)</f>
        <v>0</v>
      </c>
      <c r="P805" s="613">
        <f t="shared" ref="P805:P810" si="375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565"/>
      <c r="C806" s="565"/>
      <c r="D806" s="580"/>
      <c r="E806" s="567" t="s">
        <v>184</v>
      </c>
      <c r="F806" s="565"/>
      <c r="G806" s="568"/>
      <c r="H806" s="165" t="s">
        <v>12</v>
      </c>
      <c r="I806" s="44"/>
      <c r="J806" s="44"/>
      <c r="K806" s="45"/>
      <c r="L806" s="45">
        <f t="shared" ref="L806:N806" si="376">L809+L816</f>
        <v>0</v>
      </c>
      <c r="M806" s="45">
        <f t="shared" si="376"/>
        <v>0</v>
      </c>
      <c r="N806" s="45">
        <f t="shared" si="376"/>
        <v>0</v>
      </c>
      <c r="O806" s="45">
        <f t="shared" si="374"/>
        <v>0</v>
      </c>
      <c r="P806" s="45">
        <f t="shared" si="375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565"/>
      <c r="C807" s="565"/>
      <c r="D807" s="580"/>
      <c r="E807" s="567" t="s">
        <v>185</v>
      </c>
      <c r="F807" s="565"/>
      <c r="G807" s="568"/>
      <c r="H807" s="165" t="s">
        <v>12</v>
      </c>
      <c r="I807" s="44"/>
      <c r="J807" s="44"/>
      <c r="K807" s="45"/>
      <c r="L807" s="45">
        <f t="shared" ref="L807:N807" si="377">L810+L817</f>
        <v>0</v>
      </c>
      <c r="M807" s="45">
        <f t="shared" si="377"/>
        <v>0</v>
      </c>
      <c r="N807" s="45">
        <f t="shared" si="377"/>
        <v>0</v>
      </c>
      <c r="O807" s="45">
        <f t="shared" si="374"/>
        <v>0</v>
      </c>
      <c r="P807" s="45">
        <f t="shared" si="375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0"/>
      <c r="C808" s="565"/>
      <c r="D808" s="807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78">L809+L810</f>
        <v>0</v>
      </c>
      <c r="M808" s="613">
        <f t="shared" si="378"/>
        <v>0</v>
      </c>
      <c r="N808" s="613">
        <f t="shared" si="378"/>
        <v>0</v>
      </c>
      <c r="O808" s="613">
        <f t="shared" si="374"/>
        <v>0</v>
      </c>
      <c r="P808" s="613">
        <f t="shared" si="375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565"/>
      <c r="C809" s="565"/>
      <c r="D809" s="580"/>
      <c r="E809" s="567" t="s">
        <v>184</v>
      </c>
      <c r="F809" s="565"/>
      <c r="G809" s="56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4"/>
        <v>0</v>
      </c>
      <c r="P809" s="45">
        <f t="shared" si="375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565"/>
      <c r="C810" s="565"/>
      <c r="D810" s="580"/>
      <c r="E810" s="567" t="s">
        <v>185</v>
      </c>
      <c r="F810" s="565"/>
      <c r="G810" s="56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4"/>
        <v>0</v>
      </c>
      <c r="P810" s="45">
        <f t="shared" si="375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0"/>
      <c r="C811" s="565"/>
      <c r="D811" s="570"/>
      <c r="E811" s="565"/>
      <c r="F811" s="567" t="s">
        <v>186</v>
      </c>
      <c r="G811" s="56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0"/>
      <c r="C812" s="565"/>
      <c r="D812" s="570"/>
      <c r="E812" s="565"/>
      <c r="F812" s="567" t="s">
        <v>187</v>
      </c>
      <c r="G812" s="56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0"/>
      <c r="C813" s="565"/>
      <c r="D813" s="570"/>
      <c r="E813" s="565"/>
      <c r="F813" s="567" t="s">
        <v>188</v>
      </c>
      <c r="G813" s="56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0"/>
      <c r="C814" s="565"/>
      <c r="D814" s="570"/>
      <c r="E814" s="565"/>
      <c r="F814" s="567" t="s">
        <v>189</v>
      </c>
      <c r="G814" s="56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0"/>
      <c r="C815" s="565"/>
      <c r="D815" s="807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79">L816+L817</f>
        <v>0</v>
      </c>
      <c r="M815" s="613">
        <f t="shared" si="379"/>
        <v>0</v>
      </c>
      <c r="N815" s="613">
        <f t="shared" si="379"/>
        <v>0</v>
      </c>
      <c r="O815" s="613">
        <f t="shared" ref="O815:O817" si="380">IF(L815&gt;0,N815*100/L815,0)</f>
        <v>0</v>
      </c>
      <c r="P815" s="613">
        <f t="shared" ref="P815:P817" si="381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0"/>
      <c r="C816" s="565"/>
      <c r="D816" s="570"/>
      <c r="E816" s="567" t="s">
        <v>18</v>
      </c>
      <c r="F816" s="565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0"/>
        <v>0</v>
      </c>
      <c r="P816" s="45">
        <f t="shared" si="381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0"/>
      <c r="C817" s="565"/>
      <c r="D817" s="570"/>
      <c r="E817" s="567" t="s">
        <v>19</v>
      </c>
      <c r="F817" s="565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0"/>
        <v>0</v>
      </c>
      <c r="P817" s="45">
        <f t="shared" si="381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0"/>
      <c r="C818" s="565" t="s">
        <v>16</v>
      </c>
      <c r="D818" s="784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8.75" hidden="1">
      <c r="A819" s="785"/>
      <c r="B819" s="786"/>
      <c r="C819" s="787"/>
      <c r="D819" s="786"/>
      <c r="E819" s="788" t="s">
        <v>323</v>
      </c>
      <c r="F819" s="787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793" t="s">
        <v>324</v>
      </c>
      <c r="B820" s="794"/>
      <c r="C820" s="794"/>
      <c r="D820" s="795"/>
      <c r="E820" s="794"/>
      <c r="F820" s="794"/>
      <c r="G820" s="796"/>
      <c r="H820" s="797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215"/>
      <c r="J820" s="215"/>
      <c r="K820" s="798"/>
      <c r="L820" s="798"/>
      <c r="M820" s="798"/>
      <c r="N820" s="798"/>
      <c r="O820" s="798"/>
      <c r="P820" s="798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541" t="s">
        <v>325</v>
      </c>
      <c r="C821" s="540"/>
      <c r="D821" s="539"/>
      <c r="E821" s="540"/>
      <c r="F821" s="540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"),93816647.71)</f>
        <v>93816647.709999993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"),14429123.82)</f>
        <v>14429123.82</v>
      </c>
      <c r="K821" s="38">
        <f t="shared" ref="K821:K828" ca="1" si="382">IF(I821&gt;0,J821*100/I821,0)</f>
        <v>15.380131535505706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540"/>
      <c r="C822" s="540"/>
      <c r="D822" s="539"/>
      <c r="E822" s="540"/>
      <c r="F822" s="540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"),4449)</f>
        <v>4449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"),797)</f>
        <v>797</v>
      </c>
      <c r="K822" s="38">
        <f t="shared" ca="1" si="382"/>
        <v>17.914138008541244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541" t="s">
        <v>326</v>
      </c>
      <c r="C823" s="540"/>
      <c r="D823" s="539"/>
      <c r="E823" s="540"/>
      <c r="F823" s="540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"),4727872.01)</f>
        <v>4727872.01</v>
      </c>
      <c r="K823" s="38">
        <f t="shared" ca="1" si="382"/>
        <v>3.7407583973750609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540"/>
      <c r="C824" s="540"/>
      <c r="D824" s="539"/>
      <c r="E824" s="540"/>
      <c r="F824" s="540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"),954)</f>
        <v>954</v>
      </c>
      <c r="K824" s="38">
        <f t="shared" ca="1" si="382"/>
        <v>21.598369934344579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541" t="s">
        <v>327</v>
      </c>
      <c r="C825" s="540"/>
      <c r="D825" s="539"/>
      <c r="E825" s="540"/>
      <c r="F825" s="540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"),8291740.97)</f>
        <v>8291740.9699999997</v>
      </c>
      <c r="K825" s="38">
        <f t="shared" ca="1" si="382"/>
        <v>12.317335274997395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540"/>
      <c r="C826" s="540"/>
      <c r="D826" s="539"/>
      <c r="E826" s="540"/>
      <c r="F826" s="540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"),957)</f>
        <v>957</v>
      </c>
      <c r="K826" s="38">
        <f t="shared" ca="1" si="382"/>
        <v>17.517847336628225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541" t="s">
        <v>328</v>
      </c>
      <c r="C827" s="540"/>
      <c r="D827" s="539"/>
      <c r="E827" s="540"/>
      <c r="F827" s="540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"),13665000)</f>
        <v>13665000</v>
      </c>
      <c r="K827" s="38">
        <f t="shared" ca="1" si="382"/>
        <v>14.372863528793058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69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"),364)</f>
        <v>364</v>
      </c>
      <c r="K828" s="470">
        <f t="shared" ca="1" si="382"/>
        <v>9.9726027397260282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5B94D-0A21-4580-A6FA-94BF0915D02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6.85546875" style="801" bestFit="1" customWidth="1"/>
    <col min="10" max="10" width="14.42578125" style="801" bestFit="1" customWidth="1"/>
    <col min="11" max="11" width="12.5703125" style="801" customWidth="1"/>
    <col min="12" max="13" width="23" style="801" bestFit="1" customWidth="1"/>
    <col min="14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344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17769797</v>
      </c>
      <c r="M8" s="22">
        <f t="shared" ca="1" si="0"/>
        <v>13728715</v>
      </c>
      <c r="N8" s="22">
        <f t="shared" ca="1" si="0"/>
        <v>1981384.1500000001</v>
      </c>
      <c r="O8" s="22">
        <f t="shared" ref="O8:O16" ca="1" si="1">IF(L8&gt;0,N8*100/L8,0)</f>
        <v>11.15029141863579</v>
      </c>
      <c r="P8" s="22">
        <f t="shared" ref="P8:P16" ca="1" si="2">IF(M8&gt;0,N8*100/M8,0)</f>
        <v>14.43240791290372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17769797</v>
      </c>
      <c r="M10" s="30">
        <f t="shared" ca="1" si="3"/>
        <v>13728715</v>
      </c>
      <c r="N10" s="30">
        <f t="shared" ca="1" si="3"/>
        <v>1981384.1500000001</v>
      </c>
      <c r="O10" s="30">
        <f t="shared" ca="1" si="1"/>
        <v>11.15029141863579</v>
      </c>
      <c r="P10" s="30">
        <f t="shared" ca="1" si="2"/>
        <v>14.43240791290372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6060997</v>
      </c>
      <c r="M11" s="466">
        <f t="shared" ca="1" si="4"/>
        <v>2019915</v>
      </c>
      <c r="N11" s="466">
        <f t="shared" ca="1" si="4"/>
        <v>1772584.1500000001</v>
      </c>
      <c r="O11" s="466">
        <f t="shared" ca="1" si="1"/>
        <v>29.245751977768673</v>
      </c>
      <c r="P11" s="466">
        <f t="shared" ca="1" si="2"/>
        <v>87.755383271078244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6060997</v>
      </c>
      <c r="M13" s="93">
        <f t="shared" ca="1" si="5"/>
        <v>2019915</v>
      </c>
      <c r="N13" s="93">
        <f t="shared" ca="1" si="5"/>
        <v>1772584.1500000001</v>
      </c>
      <c r="O13" s="93">
        <f t="shared" ca="1" si="1"/>
        <v>29.245751977768673</v>
      </c>
      <c r="P13" s="93">
        <f t="shared" ca="1" si="2"/>
        <v>87.755383271078244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11708800</v>
      </c>
      <c r="M14" s="466">
        <f t="shared" ca="1" si="6"/>
        <v>11708800</v>
      </c>
      <c r="N14" s="466">
        <f t="shared" ca="1" si="6"/>
        <v>208800</v>
      </c>
      <c r="O14" s="466">
        <f t="shared" ca="1" si="1"/>
        <v>1.7832741186116425</v>
      </c>
      <c r="P14" s="466">
        <f t="shared" ca="1" si="2"/>
        <v>1.7832741186116425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11708800</v>
      </c>
      <c r="M16" s="52">
        <f t="shared" ca="1" si="7"/>
        <v>11708800</v>
      </c>
      <c r="N16" s="52">
        <f t="shared" ca="1" si="7"/>
        <v>208800</v>
      </c>
      <c r="O16" s="52">
        <f t="shared" ca="1" si="1"/>
        <v>1.7832741186116425</v>
      </c>
      <c r="P16" s="52">
        <f t="shared" ca="1" si="2"/>
        <v>1.7832741186116425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15589855</v>
      </c>
      <c r="M18" s="22">
        <f t="shared" ca="1" si="8"/>
        <v>13728715</v>
      </c>
      <c r="N18" s="22">
        <f t="shared" ca="1" si="8"/>
        <v>1621155.4600000002</v>
      </c>
      <c r="O18" s="22">
        <f t="shared" ref="O18:O26" ca="1" si="9">IF(L18&gt;0,N18*100/L18,0)</f>
        <v>10.398784722500627</v>
      </c>
      <c r="P18" s="22">
        <f t="shared" ref="P18:P26" ca="1" si="10">IF(M18&gt;0,N18*100/M18,0)</f>
        <v>11.808501086955337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15589855</v>
      </c>
      <c r="M20" s="30">
        <f t="shared" ca="1" si="11"/>
        <v>13728715</v>
      </c>
      <c r="N20" s="30">
        <f t="shared" ca="1" si="11"/>
        <v>1621155.4600000002</v>
      </c>
      <c r="O20" s="30">
        <f t="shared" ca="1" si="9"/>
        <v>10.398784722500627</v>
      </c>
      <c r="P20" s="30">
        <f t="shared" ca="1" si="10"/>
        <v>11.808501086955337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3881055</v>
      </c>
      <c r="M21" s="466">
        <f t="shared" ca="1" si="12"/>
        <v>2019915</v>
      </c>
      <c r="N21" s="466">
        <f t="shared" ca="1" si="12"/>
        <v>1412355.4600000002</v>
      </c>
      <c r="O21" s="466">
        <f t="shared" ca="1" si="9"/>
        <v>36.391018936861251</v>
      </c>
      <c r="P21" s="466">
        <f t="shared" ca="1" si="10"/>
        <v>69.921529371285445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3881055</v>
      </c>
      <c r="M23" s="93">
        <f t="shared" ca="1" si="13"/>
        <v>2019915</v>
      </c>
      <c r="N23" s="93">
        <f t="shared" ca="1" si="13"/>
        <v>1412355.4600000002</v>
      </c>
      <c r="O23" s="93">
        <f t="shared" ca="1" si="9"/>
        <v>36.391018936861251</v>
      </c>
      <c r="P23" s="93">
        <f t="shared" ca="1" si="10"/>
        <v>69.921529371285445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11708800</v>
      </c>
      <c r="M24" s="466">
        <f t="shared" ca="1" si="14"/>
        <v>11708800</v>
      </c>
      <c r="N24" s="466">
        <f t="shared" ca="1" si="14"/>
        <v>208800</v>
      </c>
      <c r="O24" s="466">
        <f t="shared" ca="1" si="9"/>
        <v>1.7832741186116425</v>
      </c>
      <c r="P24" s="466">
        <f t="shared" ca="1" si="10"/>
        <v>1.7832741186116425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11708800</v>
      </c>
      <c r="M26" s="52">
        <f t="shared" ca="1" si="15"/>
        <v>11708800</v>
      </c>
      <c r="N26" s="52">
        <f t="shared" ca="1" si="15"/>
        <v>208800</v>
      </c>
      <c r="O26" s="52">
        <f t="shared" ca="1" si="9"/>
        <v>1.7832741186116425</v>
      </c>
      <c r="P26" s="52">
        <f t="shared" ca="1" si="10"/>
        <v>1.7832741186116425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2179942</v>
      </c>
      <c r="M28" s="22">
        <f t="shared" si="16"/>
        <v>0</v>
      </c>
      <c r="N28" s="22">
        <f t="shared" si="16"/>
        <v>360228.69</v>
      </c>
      <c r="O28" s="22">
        <f t="shared" ref="O28:O37" ca="1" si="17">IF(L28&gt;0,N28*100/L28,0)</f>
        <v>16.524691482617428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2179942</v>
      </c>
      <c r="M30" s="30">
        <f t="shared" si="19"/>
        <v>0</v>
      </c>
      <c r="N30" s="30">
        <f t="shared" si="19"/>
        <v>360228.69</v>
      </c>
      <c r="O30" s="30">
        <f t="shared" ca="1" si="17"/>
        <v>16.524691482617428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2179942</v>
      </c>
      <c r="M31" s="466">
        <f t="shared" si="20"/>
        <v>0</v>
      </c>
      <c r="N31" s="466">
        <f t="shared" si="20"/>
        <v>360228.69</v>
      </c>
      <c r="O31" s="466">
        <f t="shared" ca="1" si="17"/>
        <v>16.524691482617428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2179942</v>
      </c>
      <c r="M33" s="93">
        <f t="shared" si="21"/>
        <v>0</v>
      </c>
      <c r="N33" s="93">
        <f t="shared" si="21"/>
        <v>360228.69</v>
      </c>
      <c r="O33" s="93">
        <f t="shared" ca="1" si="17"/>
        <v>16.524691482617428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15589855</v>
      </c>
      <c r="M37" s="832">
        <f t="shared" ca="1" si="24"/>
        <v>13728715</v>
      </c>
      <c r="N37" s="832">
        <f t="shared" ca="1" si="24"/>
        <v>1621155.4600000002</v>
      </c>
      <c r="O37" s="832">
        <f t="shared" ca="1" si="17"/>
        <v>10.398784722500627</v>
      </c>
      <c r="P37" s="832">
        <f t="shared" ca="1" si="18"/>
        <v>11.808501086955337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443200</v>
      </c>
      <c r="M41" s="85">
        <f t="shared" ca="1" si="25"/>
        <v>233300</v>
      </c>
      <c r="N41" s="85">
        <f t="shared" ca="1" si="25"/>
        <v>170423</v>
      </c>
      <c r="O41" s="85">
        <f t="shared" ref="O41:O49" ca="1" si="26">IF(L41&gt;0,N41*100/L41,0)</f>
        <v>38.452842960288805</v>
      </c>
      <c r="P41" s="85">
        <f t="shared" ref="P41:P49" ca="1" si="27">IF(M41&gt;0,N41*100/M41,0)</f>
        <v>73.048864123446208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443200</v>
      </c>
      <c r="M43" s="92">
        <f t="shared" ca="1" si="28"/>
        <v>233300</v>
      </c>
      <c r="N43" s="92">
        <f t="shared" ca="1" si="28"/>
        <v>170423</v>
      </c>
      <c r="O43" s="92">
        <f t="shared" ca="1" si="26"/>
        <v>38.452842960288805</v>
      </c>
      <c r="P43" s="92">
        <f t="shared" ca="1" si="27"/>
        <v>73.048864123446208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443200</v>
      </c>
      <c r="M44" s="466">
        <f t="shared" ca="1" si="29"/>
        <v>233300</v>
      </c>
      <c r="N44" s="466">
        <f t="shared" ca="1" si="29"/>
        <v>170423</v>
      </c>
      <c r="O44" s="466">
        <f t="shared" ca="1" si="26"/>
        <v>38.452842960288805</v>
      </c>
      <c r="P44" s="466">
        <f t="shared" ca="1" si="27"/>
        <v>73.048864123446208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IFERROR(__xludf.DUMMYFUNCTION("IMPORTRANGE(""https://docs.google.com/spreadsheets/d/1MeEWN-I1oV_STSDYn1IFDPWt_1FKiwhDph83XaGc0o0/edit?usp=sharing"",""งบพรบ!M22"")"),443200)</f>
        <v>443200</v>
      </c>
      <c r="M46" s="93">
        <f ca="1">IFERROR(__xludf.DUMMYFUNCTION("IMPORTRANGE(""https://docs.google.com/spreadsheets/d/1MeEWN-I1oV_STSDYn1IFDPWt_1FKiwhDph83XaGc0o0/edit?usp=sharing"",""งบพรบ!R22"")"),233300)</f>
        <v>233300</v>
      </c>
      <c r="N46" s="93">
        <f ca="1">IFERROR(__xludf.DUMMYFUNCTION("IMPORTRANGE(""https://docs.google.com/spreadsheets/d/1MeEWN-I1oV_STSDYn1IFDPWt_1FKiwhDph83XaGc0o0/edit?usp=sharing"",""งบพรบ!T22"")"),170423)</f>
        <v>170423</v>
      </c>
      <c r="O46" s="93">
        <f t="shared" ca="1" si="26"/>
        <v>38.452842960288805</v>
      </c>
      <c r="P46" s="93">
        <f t="shared" ca="1" si="27"/>
        <v>73.048864123446208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IFERROR(__xludf.DUMMYFUNCTION("IMPORTRANGE(""https://docs.google.com/spreadsheets/d/1MeEWN-I1oV_STSDYn1IFDPWt_1FKiwhDph83XaGc0o0/edit?usp=sharing"",""งบพรบ!P22"")"),0)</f>
        <v>0</v>
      </c>
      <c r="M49" s="52">
        <f ca="1">IFERROR(__xludf.DUMMYFUNCTION("IMPORTRANGE(""https://docs.google.com/spreadsheets/d/1MeEWN-I1oV_STSDYn1IFDPWt_1FKiwhDph83XaGc0o0/edit?usp=sharing"",""งบพรบ!S22"")"),0)</f>
        <v>0</v>
      </c>
      <c r="N49" s="52">
        <f ca="1">IFERROR(__xludf.DUMMYFUNCTION("IMPORTRANGE(""https://docs.google.com/spreadsheets/d/1MeEWN-I1oV_STSDYn1IFDPWt_1FKiwhDph83XaGc0o0/edit?usp=sharing"",""งบพรบ!U22"")"),0)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12540900</v>
      </c>
      <c r="M53" s="116">
        <f t="shared" ca="1" si="31"/>
        <v>12077070</v>
      </c>
      <c r="N53" s="116">
        <f t="shared" ca="1" si="31"/>
        <v>496054.64</v>
      </c>
      <c r="O53" s="116">
        <f t="shared" ref="O53:O61" ca="1" si="32">IF(L53&gt;0,N53*100/L53,0)</f>
        <v>3.9554947412067714</v>
      </c>
      <c r="P53" s="116">
        <f t="shared" ref="P53:P61" ca="1" si="33">IF(M53&gt;0,N53*100/M53,0)</f>
        <v>4.1074088334339374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12540900</v>
      </c>
      <c r="M55" s="123">
        <f t="shared" ca="1" si="34"/>
        <v>12077070</v>
      </c>
      <c r="N55" s="123">
        <f t="shared" ca="1" si="34"/>
        <v>496054.64</v>
      </c>
      <c r="O55" s="123">
        <f t="shared" ca="1" si="32"/>
        <v>3.9554947412067714</v>
      </c>
      <c r="P55" s="123">
        <f t="shared" ca="1" si="33"/>
        <v>4.1074088334339374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1040900</v>
      </c>
      <c r="M56" s="466">
        <f t="shared" ca="1" si="35"/>
        <v>577070</v>
      </c>
      <c r="N56" s="466">
        <f t="shared" ca="1" si="35"/>
        <v>496054.64</v>
      </c>
      <c r="O56" s="466">
        <f t="shared" ca="1" si="32"/>
        <v>47.656320491882028</v>
      </c>
      <c r="P56" s="466">
        <f t="shared" ca="1" si="33"/>
        <v>85.960912887517978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IFERROR(__xludf.DUMMYFUNCTION("IMPORTRANGE(""https://docs.google.com/spreadsheets/d/1MeEWN-I1oV_STSDYn1IFDPWt_1FKiwhDph83XaGc0o0/edit?usp=sharing"",""งบพรบ!W22"")"),1040900)</f>
        <v>1040900</v>
      </c>
      <c r="M58" s="93">
        <f ca="1">IFERROR(__xludf.DUMMYFUNCTION("IMPORTRANGE(""https://docs.google.com/spreadsheets/d/1MeEWN-I1oV_STSDYn1IFDPWt_1FKiwhDph83XaGc0o0/edit?usp=sharing"",""งบพรบ!AB22"")"),577070)</f>
        <v>577070</v>
      </c>
      <c r="N58" s="93">
        <f ca="1">IFERROR(__xludf.DUMMYFUNCTION("IMPORTRANGE(""https://docs.google.com/spreadsheets/d/1MeEWN-I1oV_STSDYn1IFDPWt_1FKiwhDph83XaGc0o0/edit?usp=sharing"",""งบพรบ!AD22"")"),496054.64)</f>
        <v>496054.64</v>
      </c>
      <c r="O58" s="93">
        <f t="shared" ca="1" si="32"/>
        <v>47.656320491882028</v>
      </c>
      <c r="P58" s="93">
        <f t="shared" ca="1" si="33"/>
        <v>85.960912887517978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11500000</v>
      </c>
      <c r="M59" s="466">
        <f t="shared" ca="1" si="36"/>
        <v>11500000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IFERROR(__xludf.DUMMYFUNCTION("IMPORTRANGE(""https://docs.google.com/spreadsheets/d/1MeEWN-I1oV_STSDYn1IFDPWt_1FKiwhDph83XaGc0o0/edit?usp=sharing"",""งบพรบ!Z22"")"),11500000)</f>
        <v>11500000</v>
      </c>
      <c r="M61" s="52">
        <f ca="1">IFERROR(__xludf.DUMMYFUNCTION("IMPORTRANGE(""https://docs.google.com/spreadsheets/d/1MeEWN-I1oV_STSDYn1IFDPWt_1FKiwhDph83XaGc0o0/edit?usp=sharing"",""งบพรบ!AC22"")"),11500000)</f>
        <v>11500000</v>
      </c>
      <c r="N61" s="52">
        <f ca="1">IFERROR(__xludf.DUMMYFUNCTION("IMPORTRANGE(""https://docs.google.com/spreadsheets/d/1MeEWN-I1oV_STSDYn1IFDPWt_1FKiwhDph83XaGc0o0/edit?usp=sharing"",""งบพรบ!AE22"")"),0)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80</v>
      </c>
      <c r="J65" s="144">
        <f t="shared" si="37"/>
        <v>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1116400</v>
      </c>
      <c r="M66" s="155">
        <f t="shared" ca="1" si="39"/>
        <v>544200</v>
      </c>
      <c r="N66" s="155">
        <f t="shared" ca="1" si="39"/>
        <v>387082.77</v>
      </c>
      <c r="O66" s="155">
        <f t="shared" ref="O66:O74" ca="1" si="40">IF(L66&gt;0,N66*100/L66,0)</f>
        <v>34.672408634897884</v>
      </c>
      <c r="P66" s="155">
        <f t="shared" ref="P66:P74" ca="1" si="41">IF(M66&gt;0,N66*100/M66,0)</f>
        <v>71.128770672546864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1116400</v>
      </c>
      <c r="M68" s="93">
        <f t="shared" ca="1" si="42"/>
        <v>544200</v>
      </c>
      <c r="N68" s="93">
        <f t="shared" ca="1" si="42"/>
        <v>387082.77</v>
      </c>
      <c r="O68" s="93">
        <f t="shared" ca="1" si="40"/>
        <v>34.672408634897884</v>
      </c>
      <c r="P68" s="93">
        <f t="shared" ca="1" si="41"/>
        <v>71.128770672546864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1116400</v>
      </c>
      <c r="M69" s="466">
        <f t="shared" ca="1" si="43"/>
        <v>544200</v>
      </c>
      <c r="N69" s="466">
        <f t="shared" ca="1" si="43"/>
        <v>387082.77</v>
      </c>
      <c r="O69" s="466">
        <f t="shared" ca="1" si="40"/>
        <v>34.672408634897884</v>
      </c>
      <c r="P69" s="466">
        <f t="shared" ca="1" si="41"/>
        <v>71.128770672546864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IFERROR(__xludf.DUMMYFUNCTION("IMPORTRANGE(""https://docs.google.com/spreadsheets/d/1MeEWN-I1oV_STSDYn1IFDPWt_1FKiwhDph83XaGc0o0/edit?usp=sharing"",""งบพรบ!AG22"")"),1116400)</f>
        <v>1116400</v>
      </c>
      <c r="M71" s="93">
        <f ca="1">IFERROR(__xludf.DUMMYFUNCTION("IMPORTRANGE(""https://docs.google.com/spreadsheets/d/1MeEWN-I1oV_STSDYn1IFDPWt_1FKiwhDph83XaGc0o0/edit?usp=sharing"",""งบพรบ!AL22"")"),544200)</f>
        <v>544200</v>
      </c>
      <c r="N71" s="93">
        <f ca="1">IFERROR(__xludf.DUMMYFUNCTION("IMPORTRANGE(""https://docs.google.com/spreadsheets/d/1MeEWN-I1oV_STSDYn1IFDPWt_1FKiwhDph83XaGc0o0/edit?usp=sharing"",""งบพรบ!AN22"")"),387082.77)</f>
        <v>387082.77</v>
      </c>
      <c r="O71" s="93">
        <f t="shared" ca="1" si="40"/>
        <v>34.672408634897884</v>
      </c>
      <c r="P71" s="93">
        <f t="shared" ca="1" si="41"/>
        <v>71.128770672546864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IFERROR(__xludf.DUMMYFUNCTION("IMPORTRANGE(""https://docs.google.com/spreadsheets/d/1MeEWN-I1oV_STSDYn1IFDPWt_1FKiwhDph83XaGc0o0/edit?usp=sharing"",""งบพรบ!AJ22"")"),0)</f>
        <v>0</v>
      </c>
      <c r="M74" s="93">
        <f ca="1">IFERROR(__xludf.DUMMYFUNCTION("IMPORTRANGE(""https://docs.google.com/spreadsheets/d/1MeEWN-I1oV_STSDYn1IFDPWt_1FKiwhDph83XaGc0o0/edit?usp=sharing"",""งบพรบ!AM22"")"),0)</f>
        <v>0</v>
      </c>
      <c r="N74" s="93">
        <f ca="1">IFERROR(__xludf.DUMMYFUNCTION("IMPORTRANGE(""https://docs.google.com/spreadsheets/d/1MeEWN-I1oV_STSDYn1IFDPWt_1FKiwhDph83XaGc0o0/edit?usp=sharing"",""งบพรบ!AO22"")"),0)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80</v>
      </c>
      <c r="J77" s="270">
        <f t="shared" si="45"/>
        <v>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IFERROR(__xludf.DUMMYFUNCTION("IMPORTRANGE(""https://docs.google.com/spreadsheets/d/1QqKyyYR6Q21VydFLVH3TRQUabQu_ym0Zz7PgGX0-kHA/edit?usp=sharing"",""แผน!I22"")"),80)</f>
        <v>80</v>
      </c>
      <c r="J79" s="215">
        <v>80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120</v>
      </c>
      <c r="J86" s="144">
        <f t="shared" si="47"/>
        <v>120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40</v>
      </c>
      <c r="J87" s="144">
        <f t="shared" si="47"/>
        <v>40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447560</v>
      </c>
      <c r="M88" s="155">
        <f t="shared" ca="1" si="49"/>
        <v>220360</v>
      </c>
      <c r="N88" s="155">
        <f t="shared" ca="1" si="49"/>
        <v>148353.34</v>
      </c>
      <c r="O88" s="155">
        <f t="shared" ref="O88:O96" ca="1" si="50">IF(L88&gt;0,N88*100/L88,0)</f>
        <v>33.147140048261683</v>
      </c>
      <c r="P88" s="155">
        <f t="shared" ref="P88:P96" ca="1" si="51">IF(M88&gt;0,N88*100/M88,0)</f>
        <v>67.323171174441825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447560</v>
      </c>
      <c r="M90" s="93">
        <f t="shared" ca="1" si="52"/>
        <v>220360</v>
      </c>
      <c r="N90" s="93">
        <f t="shared" ca="1" si="52"/>
        <v>148353.34</v>
      </c>
      <c r="O90" s="93">
        <f t="shared" ca="1" si="50"/>
        <v>33.147140048261683</v>
      </c>
      <c r="P90" s="93">
        <f t="shared" ca="1" si="51"/>
        <v>67.323171174441825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447560</v>
      </c>
      <c r="M91" s="466">
        <f t="shared" ca="1" si="53"/>
        <v>220360</v>
      </c>
      <c r="N91" s="466">
        <f t="shared" ca="1" si="53"/>
        <v>148353.34</v>
      </c>
      <c r="O91" s="466">
        <f t="shared" ca="1" si="50"/>
        <v>33.147140048261683</v>
      </c>
      <c r="P91" s="466">
        <f t="shared" ca="1" si="51"/>
        <v>67.323171174441825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IFERROR(__xludf.DUMMYFUNCTION("IMPORTRANGE(""https://docs.google.com/spreadsheets/d/1MeEWN-I1oV_STSDYn1IFDPWt_1FKiwhDph83XaGc0o0/edit?usp=sharing"",""งบพรบ!AQ22"")"),447560)</f>
        <v>447560</v>
      </c>
      <c r="M93" s="93">
        <f ca="1">IFERROR(__xludf.DUMMYFUNCTION("IMPORTRANGE(""https://docs.google.com/spreadsheets/d/1MeEWN-I1oV_STSDYn1IFDPWt_1FKiwhDph83XaGc0o0/edit?usp=sharing"",""งบพรบ!AV22"")"),220360)</f>
        <v>220360</v>
      </c>
      <c r="N93" s="93">
        <f ca="1">IFERROR(__xludf.DUMMYFUNCTION("IMPORTRANGE(""https://docs.google.com/spreadsheets/d/1MeEWN-I1oV_STSDYn1IFDPWt_1FKiwhDph83XaGc0o0/edit?usp=sharing"",""งบพรบ!AX22"")"),148353.34)</f>
        <v>148353.34</v>
      </c>
      <c r="O93" s="93">
        <f t="shared" ca="1" si="50"/>
        <v>33.147140048261683</v>
      </c>
      <c r="P93" s="93">
        <f t="shared" ca="1" si="51"/>
        <v>67.323171174441825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IFERROR(__xludf.DUMMYFUNCTION("IMPORTRANGE(""https://docs.google.com/spreadsheets/d/1MeEWN-I1oV_STSDYn1IFDPWt_1FKiwhDph83XaGc0o0/edit?usp=sharing"",""งบพรบ!AT22"")"),0)</f>
        <v>0</v>
      </c>
      <c r="M96" s="93">
        <f ca="1">IFERROR(__xludf.DUMMYFUNCTION("IMPORTRANGE(""https://docs.google.com/spreadsheets/d/1MeEWN-I1oV_STSDYn1IFDPWt_1FKiwhDph83XaGc0o0/edit?usp=sharing"",""งบพรบ!AW22"")"),0)</f>
        <v>0</v>
      </c>
      <c r="N96" s="93">
        <f ca="1">IFERROR(__xludf.DUMMYFUNCTION("IMPORTRANGE(""https://docs.google.com/spreadsheets/d/1MeEWN-I1oV_STSDYn1IFDPWt_1FKiwhDph83XaGc0o0/edit?usp=sharing"",""งบพรบ!AY22"")"),0)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IFERROR(__xludf.DUMMYFUNCTION("IMPORTRANGE(""https://docs.google.com/spreadsheets/d/1QqKyyYR6Q21VydFLVH3TRQUabQu_ym0Zz7PgGX0-kHA/edit?usp=sharing"",""แผน!K22"")"),120)</f>
        <v>120</v>
      </c>
      <c r="J98" s="270">
        <f>J102</f>
        <v>120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IFERROR(__xludf.DUMMYFUNCTION("IMPORTRANGE(""https://docs.google.com/spreadsheets/d/1QqKyyYR6Q21VydFLVH3TRQUabQu_ym0Zz7PgGX0-kHA/edit?usp=sharing"",""แผน!L22"")"),40)</f>
        <v>40</v>
      </c>
      <c r="J99" s="270">
        <f>J104</f>
        <v>40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IFERROR(__xludf.DUMMYFUNCTION("IMPORTRANGE(""https://docs.google.com/spreadsheets/d/1QqKyyYR6Q21VydFLVH3TRQUabQu_ym0Zz7PgGX0-kHA/edit?usp=sharing"",""แผน!M22"")"),2)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IFERROR(__xludf.DUMMYFUNCTION("IMPORTRANGE(""https://docs.google.com/spreadsheets/d/1QqKyyYR6Q21VydFLVH3TRQUabQu_ym0Zz7PgGX0-kHA/edit?usp=sharing"",""แผน!N22"")"),120)</f>
        <v>120</v>
      </c>
      <c r="J102" s="215">
        <v>120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IFERROR(__xludf.DUMMYFUNCTION("IMPORTRANGE(""https://docs.google.com/spreadsheets/d/1QqKyyYR6Q21VydFLVH3TRQUabQu_ym0Zz7PgGX0-kHA/edit?usp=sharing"",""แผน!O22"")"),40)</f>
        <v>40</v>
      </c>
      <c r="J103" s="215">
        <v>40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IFERROR(__xludf.DUMMYFUNCTION("IMPORTRANGE(""https://docs.google.com/spreadsheets/d/1QqKyyYR6Q21VydFLVH3TRQUabQu_ym0Zz7PgGX0-kHA/edit?usp=sharing"",""แผน!O22"")"),40)</f>
        <v>40</v>
      </c>
      <c r="J104" s="215">
        <v>40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IFERROR(__xludf.DUMMYFUNCTION("IMPORTRANGE(""https://docs.google.com/spreadsheets/d/1QqKyyYR6Q21VydFLVH3TRQUabQu_ym0Zz7PgGX0-kHA/edit?usp=sharing"",""แผน!P22"")"),1)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IFERROR(__xludf.DUMMYFUNCTION("IMPORTRANGE(""https://docs.google.com/spreadsheets/d/1QqKyyYR6Q21VydFLVH3TRQUabQu_ym0Zz7PgGX0-kHA/edit?usp=sharing"",""แผน!P22"")"),1)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IFERROR(__xludf.DUMMYFUNCTION("IMPORTRANGE(""https://docs.google.com/spreadsheets/d/1QqKyyYR6Q21VydFLVH3TRQUabQu_ym0Zz7PgGX0-kHA/edit?usp=sharing"",""แผน!Q22"")"),1)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IFERROR(__xludf.DUMMYFUNCTION("IMPORTRANGE(""https://docs.google.com/spreadsheets/d/1QqKyyYR6Q21VydFLVH3TRQUabQu_ym0Zz7PgGX0-kHA/edit?usp=sharing"",""แผน!Q22"")"),1)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IFERROR(__xludf.DUMMYFUNCTION("IMPORTRANGE(""https://docs.google.com/spreadsheets/d/1QqKyyYR6Q21VydFLVH3TRQUabQu_ym0Zz7PgGX0-kHA/edit?usp=sharing"",""แผน!R22"")"),40)</f>
        <v>40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IFERROR(__xludf.DUMMYFUNCTION("IMPORTRANGE(""https://docs.google.com/spreadsheets/d/1QqKyyYR6Q21VydFLVH3TRQUabQu_ym0Zz7PgGX0-kHA/edit?usp=sharing"",""แผน!R22"")"),40)</f>
        <v>40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IFERROR(__xludf.DUMMYFUNCTION("IMPORTRANGE(""https://docs.google.com/spreadsheets/d/1QqKyyYR6Q21VydFLVH3TRQUabQu_ym0Zz7PgGX0-kHA/edit?usp=sharing"",""แผน!R22"")"),40)</f>
        <v>40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IFERROR(__xludf.DUMMYFUNCTION("IMPORTRANGE(""https://docs.google.com/spreadsheets/d/1QqKyyYR6Q21VydFLVH3TRQUabQu_ym0Zz7PgGX0-kHA/edit?usp=sharing"",""แผน!S22"")"),1)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IFERROR(__xludf.DUMMYFUNCTION("IMPORTRANGE(""https://docs.google.com/spreadsheets/d/1QqKyyYR6Q21VydFLVH3TRQUabQu_ym0Zz7PgGX0-kHA/edit?usp=sharing"",""แผน!T22"")"),1)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IFERROR(__xludf.DUMMYFUNCTION("IMPORTRANGE(""https://docs.google.com/spreadsheets/d/1MeEWN-I1oV_STSDYn1IFDPWt_1FKiwhDph83XaGc0o0/edit?usp=sharing"",""งบพรบ!BA22"")"),0)</f>
        <v>0</v>
      </c>
      <c r="M124" s="93">
        <f ca="1">IFERROR(__xludf.DUMMYFUNCTION("IMPORTRANGE(""https://docs.google.com/spreadsheets/d/1MeEWN-I1oV_STSDYn1IFDPWt_1FKiwhDph83XaGc0o0/edit?usp=sharing"",""งบพรบ!BF22"")"),0)</f>
        <v>0</v>
      </c>
      <c r="N124" s="93">
        <f ca="1">IFERROR(__xludf.DUMMYFUNCTION("IMPORTRANGE(""https://docs.google.com/spreadsheets/d/1MeEWN-I1oV_STSDYn1IFDPWt_1FKiwhDph83XaGc0o0/edit?usp=sharing"",""งบพรบ!BH22"")"),0)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IFERROR(__xludf.DUMMYFUNCTION("IMPORTRANGE(""https://docs.google.com/spreadsheets/d/1MeEWN-I1oV_STSDYn1IFDPWt_1FKiwhDph83XaGc0o0/edit?usp=sharing"",""งบพรบ!BD22"")"),0)</f>
        <v>0</v>
      </c>
      <c r="M127" s="93">
        <f ca="1">IFERROR(__xludf.DUMMYFUNCTION("IMPORTRANGE(""https://docs.google.com/spreadsheets/d/1MeEWN-I1oV_STSDYn1IFDPWt_1FKiwhDph83XaGc0o0/edit?usp=sharing"",""งบพรบ!BG22"")"),0)</f>
        <v>0</v>
      </c>
      <c r="N127" s="93">
        <f ca="1">IFERROR(__xludf.DUMMYFUNCTION("IMPORTRANGE(""https://docs.google.com/spreadsheets/d/1MeEWN-I1oV_STSDYn1IFDPWt_1FKiwhDph83XaGc0o0/edit?usp=sharing"",""งบพรบ!BI22"")"),0)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IFERROR(__xludf.DUMMYFUNCTION("IMPORTRANGE(""https://docs.google.com/spreadsheets/d/1MeEWN-I1oV_STSDYn1IFDPWt_1FKiwhDph83XaGc0o0/edit?usp=sharing"",""งบพรบ!BK22"")"),0)</f>
        <v>0</v>
      </c>
      <c r="M137" s="93">
        <f ca="1">IFERROR(__xludf.DUMMYFUNCTION("IMPORTRANGE(""https://docs.google.com/spreadsheets/d/1MeEWN-I1oV_STSDYn1IFDPWt_1FKiwhDph83XaGc0o0/edit?usp=sharing"",""งบพรบ!BP22"")"),0)</f>
        <v>0</v>
      </c>
      <c r="N137" s="93">
        <f ca="1">IFERROR(__xludf.DUMMYFUNCTION("IMPORTRANGE(""https://docs.google.com/spreadsheets/d/1MeEWN-I1oV_STSDYn1IFDPWt_1FKiwhDph83XaGc0o0/edit?usp=sharing"",""งบพรบ!BR22"")"),0)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IFERROR(__xludf.DUMMYFUNCTION("IMPORTRANGE(""https://docs.google.com/spreadsheets/d/1MeEWN-I1oV_STSDYn1IFDPWt_1FKiwhDph83XaGc0o0/edit?usp=sharing"",""งบพรบ!BN22"")"),0)</f>
        <v>0</v>
      </c>
      <c r="M140" s="93">
        <f ca="1">IFERROR(__xludf.DUMMYFUNCTION("IMPORTRANGE(""https://docs.google.com/spreadsheets/d/1MeEWN-I1oV_STSDYn1IFDPWt_1FKiwhDph83XaGc0o0/edit?usp=sharing"",""งบพรบ!BQ22"")"),0)</f>
        <v>0</v>
      </c>
      <c r="N140" s="93">
        <f ca="1">IFERROR(__xludf.DUMMYFUNCTION("IMPORTRANGE(""https://docs.google.com/spreadsheets/d/1MeEWN-I1oV_STSDYn1IFDPWt_1FKiwhDph83XaGc0o0/edit?usp=sharing"",""งบพรบ!BS22"")"),0)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IFERROR(__xludf.DUMMYFUNCTION("IMPORTRANGE(""https://docs.google.com/spreadsheets/d/1QqKyyYR6Q21VydFLVH3TRQUabQu_ym0Zz7PgGX0-kHA/edit?usp=sharing"",""แผน!U22"")"),0)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IFERROR(__xludf.DUMMYFUNCTION("IMPORTRANGE(""https://docs.google.com/spreadsheets/d/1QqKyyYR6Q21VydFLVH3TRQUabQu_ym0Zz7PgGX0-kHA/edit?usp=sharing"",""แผน!V22"")"),0)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IFERROR(__xludf.DUMMYFUNCTION("IMPORTRANGE(""https://docs.google.com/spreadsheets/d/1QqKyyYR6Q21VydFLVH3TRQUabQu_ym0Zz7PgGX0-kHA/edit?usp=sharing"",""แผน!W22"")"),0)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1360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1360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1360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IFERROR(__xludf.DUMMYFUNCTION("IMPORTRANGE(""https://docs.google.com/spreadsheets/d/1MeEWN-I1oV_STSDYn1IFDPWt_1FKiwhDph83XaGc0o0/edit?usp=sharing"",""งบพรบ!BU22"")"),0)</f>
        <v>0</v>
      </c>
      <c r="M154" s="93">
        <f ca="1">IFERROR(__xludf.DUMMYFUNCTION("IMPORTRANGE(""https://docs.google.com/spreadsheets/d/1MeEWN-I1oV_STSDYn1IFDPWt_1FKiwhDph83XaGc0o0/edit?usp=sharing"",""งบพรบ!BZ22"")"),1360)</f>
        <v>1360</v>
      </c>
      <c r="N154" s="93">
        <f ca="1">IFERROR(__xludf.DUMMYFUNCTION("IMPORTRANGE(""https://docs.google.com/spreadsheets/d/1MeEWN-I1oV_STSDYn1IFDPWt_1FKiwhDph83XaGc0o0/edit?usp=sharing"",""งบพรบ!CB22"")"),0)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IFERROR(__xludf.DUMMYFUNCTION("IMPORTRANGE(""https://docs.google.com/spreadsheets/d/1MeEWN-I1oV_STSDYn1IFDPWt_1FKiwhDph83XaGc0o0/edit?usp=sharing"",""งบพรบ!BX22"")"),0)</f>
        <v>0</v>
      </c>
      <c r="M157" s="93">
        <f ca="1">IFERROR(__xludf.DUMMYFUNCTION("IMPORTRANGE(""https://docs.google.com/spreadsheets/d/1MeEWN-I1oV_STSDYn1IFDPWt_1FKiwhDph83XaGc0o0/edit?usp=sharing"",""งบพรบ!CA22"")"),0)</f>
        <v>0</v>
      </c>
      <c r="N157" s="93">
        <f ca="1">IFERROR(__xludf.DUMMYFUNCTION("IMPORTRANGE(""https://docs.google.com/spreadsheets/d/1MeEWN-I1oV_STSDYn1IFDPWt_1FKiwhDph83XaGc0o0/edit?usp=sharing"",""งบพรบ!CC22"")"),0)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IFERROR(__xludf.DUMMYFUNCTION("IMPORTRANGE(""https://docs.google.com/spreadsheets/d/1QqKyyYR6Q21VydFLVH3TRQUabQu_ym0Zz7PgGX0-kHA/edit?usp=sharing"",""แผน!X22"")"),0)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22055</v>
      </c>
      <c r="N168" s="466">
        <f t="shared" ca="1" si="88"/>
        <v>0</v>
      </c>
      <c r="O168" s="466">
        <f t="shared" ca="1" si="85"/>
        <v>0</v>
      </c>
      <c r="P168" s="46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IFERROR(__xludf.DUMMYFUNCTION("IMPORTRANGE(""https://docs.google.com/spreadsheets/d/1MeEWN-I1oV_STSDYn1IFDPWt_1FKiwhDph83XaGc0o0/edit?usp=sharing"",""งบพรบ!CE22"")"),22055)</f>
        <v>22055</v>
      </c>
      <c r="M170" s="93">
        <f ca="1">IFERROR(__xludf.DUMMYFUNCTION("IMPORTRANGE(""https://docs.google.com/spreadsheets/d/1MeEWN-I1oV_STSDYn1IFDPWt_1FKiwhDph83XaGc0o0/edit?usp=sharing"",""งบพรบ!CJ22"")"),22055)</f>
        <v>22055</v>
      </c>
      <c r="N170" s="93">
        <f ca="1">IFERROR(__xludf.DUMMYFUNCTION("IMPORTRANGE(""https://docs.google.com/spreadsheets/d/1MeEWN-I1oV_STSDYn1IFDPWt_1FKiwhDph83XaGc0o0/edit?usp=sharing"",""งบพรบ!CL22"")"),0)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IFERROR(__xludf.DUMMYFUNCTION("IMPORTRANGE(""https://docs.google.com/spreadsheets/d/1MeEWN-I1oV_STSDYn1IFDPWt_1FKiwhDph83XaGc0o0/edit?usp=sharing"",""งบพรบ!CH22"")"),0)</f>
        <v>0</v>
      </c>
      <c r="M173" s="93">
        <f ca="1">IFERROR(__xludf.DUMMYFUNCTION("IMPORTRANGE(""https://docs.google.com/spreadsheets/d/1MeEWN-I1oV_STSDYn1IFDPWt_1FKiwhDph83XaGc0o0/edit?usp=sharing"",""งบพรบ!CK22"")"),0)</f>
        <v>0</v>
      </c>
      <c r="N173" s="93">
        <f ca="1">IFERROR(__xludf.DUMMYFUNCTION("IMPORTRANGE(""https://docs.google.com/spreadsheets/d/1MeEWN-I1oV_STSDYn1IFDPWt_1FKiwhDph83XaGc0o0/edit?usp=sharing"",""งบพรบ!CM22"")"),0)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IFERROR(__xludf.DUMMYFUNCTION("IMPORTRANGE(""https://docs.google.com/spreadsheets/d/1QqKyyYR6Q21VydFLVH3TRQUabQu_ym0Zz7PgGX0-kHA/edit?usp=sharing"",""แผน!Y22"")"),11)</f>
        <v>11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73500</v>
      </c>
      <c r="M181" s="155">
        <f t="shared" ca="1" si="92"/>
        <v>40000</v>
      </c>
      <c r="N181" s="155">
        <f t="shared" ca="1" si="92"/>
        <v>3000</v>
      </c>
      <c r="O181" s="155">
        <f t="shared" ref="O181:O189" ca="1" si="93">IF(L181&gt;0,N181*100/L181,0)</f>
        <v>4.0816326530612246</v>
      </c>
      <c r="P181" s="155">
        <f t="shared" ref="P181:P189" ca="1" si="94">IF(M181&gt;0,N181*100/M181,0)</f>
        <v>7.5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73500</v>
      </c>
      <c r="M183" s="93">
        <f t="shared" ca="1" si="95"/>
        <v>40000</v>
      </c>
      <c r="N183" s="93">
        <f t="shared" ca="1" si="95"/>
        <v>3000</v>
      </c>
      <c r="O183" s="93">
        <f t="shared" ca="1" si="93"/>
        <v>4.0816326530612246</v>
      </c>
      <c r="P183" s="93">
        <f t="shared" ca="1" si="94"/>
        <v>7.5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73500</v>
      </c>
      <c r="M184" s="466">
        <f t="shared" ca="1" si="96"/>
        <v>40000</v>
      </c>
      <c r="N184" s="466">
        <f t="shared" ca="1" si="96"/>
        <v>3000</v>
      </c>
      <c r="O184" s="466">
        <f t="shared" ca="1" si="93"/>
        <v>4.0816326530612246</v>
      </c>
      <c r="P184" s="466">
        <f t="shared" ca="1" si="94"/>
        <v>7.5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IFERROR(__xludf.DUMMYFUNCTION("IMPORTRANGE(""https://docs.google.com/spreadsheets/d/1MeEWN-I1oV_STSDYn1IFDPWt_1FKiwhDph83XaGc0o0/edit?usp=sharing"",""งบพรบ!CO22"")"),73500)</f>
        <v>73500</v>
      </c>
      <c r="M186" s="93">
        <f ca="1">IFERROR(__xludf.DUMMYFUNCTION("IMPORTRANGE(""https://docs.google.com/spreadsheets/d/1MeEWN-I1oV_STSDYn1IFDPWt_1FKiwhDph83XaGc0o0/edit?usp=sharing"",""งบพรบ!CT22"")"),40000)</f>
        <v>40000</v>
      </c>
      <c r="N186" s="93">
        <f ca="1">IFERROR(__xludf.DUMMYFUNCTION("IMPORTRANGE(""https://docs.google.com/spreadsheets/d/1MeEWN-I1oV_STSDYn1IFDPWt_1FKiwhDph83XaGc0o0/edit?usp=sharing"",""งบพรบ!CV22"")"),3000)</f>
        <v>3000</v>
      </c>
      <c r="O186" s="93">
        <f t="shared" ca="1" si="93"/>
        <v>4.0816326530612246</v>
      </c>
      <c r="P186" s="93">
        <f t="shared" ca="1" si="94"/>
        <v>7.5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IFERROR(__xludf.DUMMYFUNCTION("IMPORTRANGE(""https://docs.google.com/spreadsheets/d/1MeEWN-I1oV_STSDYn1IFDPWt_1FKiwhDph83XaGc0o0/edit?usp=sharing"",""งบพรบ!CR22"")"),0)</f>
        <v>0</v>
      </c>
      <c r="M189" s="93">
        <f ca="1">IFERROR(__xludf.DUMMYFUNCTION("IMPORTRANGE(""https://docs.google.com/spreadsheets/d/1MeEWN-I1oV_STSDYn1IFDPWt_1FKiwhDph83XaGc0o0/edit?usp=sharing"",""งบพรบ!CU22"")"),0)</f>
        <v>0</v>
      </c>
      <c r="N189" s="93">
        <f ca="1">IFERROR(__xludf.DUMMYFUNCTION("IMPORTRANGE(""https://docs.google.com/spreadsheets/d/1MeEWN-I1oV_STSDYn1IFDPWt_1FKiwhDph83XaGc0o0/edit?usp=sharing"",""งบพรบ!CW22"")"),0)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IFERROR(__xludf.DUMMYFUNCTION("IMPORTRANGE(""https://docs.google.com/spreadsheets/d/1QqKyyYR6Q21VydFLVH3TRQUabQu_ym0Zz7PgGX0-kHA/edit?usp=sharing"",""แผน!Z22"")"),6000)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IFERROR(__xludf.DUMMYFUNCTION("IMPORTRANGE(""https://docs.google.com/spreadsheets/d/1QqKyyYR6Q21VydFLVH3TRQUabQu_ym0Zz7PgGX0-kHA/edit?usp=sharing"",""แผน!AC22"")"),4)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221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221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IFERROR(__xludf.DUMMYFUNCTION("IMPORTRANGE(""https://docs.google.com/spreadsheets/d/1QqKyyYR6Q21VydFLVH3TRQUabQu_ym0Zz7PgGX0-kHA/edit?usp=sharing"",""แผน!AE22"")"),3000)</f>
        <v>3000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IFERROR(__xludf.DUMMYFUNCTION("IMPORTRANGE(""https://docs.google.com/spreadsheets/d/1QqKyyYR6Q21VydFLVH3TRQUabQu_ym0Zz7PgGX0-kHA/edit?usp=sharing"",""แผน!AF22"")"),24000)</f>
        <v>24000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IFERROR(__xludf.DUMMYFUNCTION("IMPORTRANGE(""https://docs.google.com/spreadsheets/d/1QqKyyYR6Q21VydFLVH3TRQUabQu_ym0Zz7PgGX0-kHA/edit?usp=sharing"",""แผน!AG22"")"),12000)</f>
        <v>12000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IFERROR(__xludf.DUMMYFUNCTION("IMPORTRANGE(""https://docs.google.com/spreadsheets/d/1QqKyyYR6Q21VydFLVH3TRQUabQu_ym0Zz7PgGX0-kHA/edit?usp=sharing"",""แผน!AH22"")"),0)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IFERROR(__xludf.DUMMYFUNCTION("IMPORTRANGE(""https://docs.google.com/spreadsheets/d/1QqKyyYR6Q21VydFLVH3TRQUabQu_ym0Zz7PgGX0-kHA/edit?usp=sharing"",""แผน!AI22"")"),3)</f>
        <v>3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IFERROR(__xludf.DUMMYFUNCTION("IMPORTRANGE(""https://docs.google.com/spreadsheets/d/1QqKyyYR6Q21VydFLVH3TRQUabQu_ym0Zz7PgGX0-kHA/edit?usp=sharing"",""แผน!AK22"")"),0)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IFERROR(__xludf.DUMMYFUNCTION("IMPORTRANGE(""https://docs.google.com/spreadsheets/d/1QqKyyYR6Q21VydFLVH3TRQUabQu_ym0Zz7PgGX0-kHA/edit?usp=sharing"",""แผน!AL22"")"),0)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IFERROR(__xludf.DUMMYFUNCTION("IMPORTRANGE(""https://docs.google.com/spreadsheets/d/1QqKyyYR6Q21VydFLVH3TRQUabQu_ym0Zz7PgGX0-kHA/edit?usp=sharing"",""แผน!AM22"")"),0)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IFERROR(__xludf.DUMMYFUNCTION("IMPORTRANGE(""https://docs.google.com/spreadsheets/d/1QqKyyYR6Q21VydFLVH3TRQUabQu_ym0Zz7PgGX0-kHA/edit?usp=sharing"",""แผน!AN22"")"),0)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IFERROR(__xludf.DUMMYFUNCTION("IMPORTRANGE(""https://docs.google.com/spreadsheets/d/1QqKyyYR6Q21VydFLVH3TRQUabQu_ym0Zz7PgGX0-kHA/edit?usp=sharing"",""แผน!AN22"")"),0)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IFERROR(__xludf.DUMMYFUNCTION("IMPORTRANGE(""https://docs.google.com/spreadsheets/d/1QqKyyYR6Q21VydFLVH3TRQUabQu_ym0Zz7PgGX0-kHA/edit?usp=sharing"",""แผน!AP22"")"),5000)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IFERROR(__xludf.DUMMYFUNCTION("IMPORTRANGE(""https://docs.google.com/spreadsheets/d/1QqKyyYR6Q21VydFLVH3TRQUabQu_ym0Zz7PgGX0-kHA/edit?usp=sharing"",""แผน!AQ22"")"),13500)</f>
        <v>13500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IFERROR(__xludf.DUMMYFUNCTION("IMPORTRANGE(""https://docs.google.com/spreadsheets/d/1QqKyyYR6Q21VydFLVH3TRQUabQu_ym0Zz7PgGX0-kHA/edit?usp=sharing"",""แผน!AR22"")"),10000)</f>
        <v>10000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IFERROR(__xludf.DUMMYFUNCTION("IMPORTRANGE(""https://docs.google.com/spreadsheets/d/1QqKyyYR6Q21VydFLVH3TRQUabQu_ym0Zz7PgGX0-kHA/edit?usp=sharing"",""แผน!AT22"")"),50000)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IFERROR(__xludf.DUMMYFUNCTION("IMPORTRANGE(""https://docs.google.com/spreadsheets/d/1QqKyyYR6Q21VydFLVH3TRQUabQu_ym0Zz7PgGX0-kHA/edit?usp=sharing"",""แผน!AT22"")"),50000)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IFERROR(__xludf.DUMMYFUNCTION("IMPORTRANGE(""https://docs.google.com/spreadsheets/d/1QqKyyYR6Q21VydFLVH3TRQUabQu_ym0Zz7PgGX0-kHA/edit?usp=sharing"",""แผน!AS22"")"),10)</f>
        <v>10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IFERROR(__xludf.DUMMYFUNCTION("IMPORTRANGE(""https://docs.google.com/spreadsheets/d/1QqKyyYR6Q21VydFLVH3TRQUabQu_ym0Zz7PgGX0-kHA/edit?usp=sharing"",""แผน!AV22"")"),0)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IFERROR(__xludf.DUMMYFUNCTION("IMPORTRANGE(""https://docs.google.com/spreadsheets/d/1QqKyyYR6Q21VydFLVH3TRQUabQu_ym0Zz7PgGX0-kHA/edit?usp=sharing"",""แผน!AW22"")"),0)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IFERROR(__xludf.DUMMYFUNCTION("IMPORTRANGE(""https://docs.google.com/spreadsheets/d/1QqKyyYR6Q21VydFLVH3TRQUabQu_ym0Zz7PgGX0-kHA/edit?usp=sharing"",""แผน!AX22"")"),0)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IFERROR(__xludf.DUMMYFUNCTION("IMPORTRANGE(""https://docs.google.com/spreadsheets/d/1QqKyyYR6Q21VydFLVH3TRQUabQu_ym0Zz7PgGX0-kHA/edit?usp=sharing"",""แผน!AY22"")"),0)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IFERROR(__xludf.DUMMYFUNCTION("IMPORTRANGE(""https://docs.google.com/spreadsheets/d/1QqKyyYR6Q21VydFLVH3TRQUabQu_ym0Zz7PgGX0-kHA/edit?usp=sharing"",""แผน!BE22"")"),0)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IFERROR(__xludf.DUMMYFUNCTION("IMPORTRANGE(""https://docs.google.com/spreadsheets/d/1QqKyyYR6Q21VydFLVH3TRQUabQu_ym0Zz7PgGX0-kHA/edit?usp=sharing"",""แผน!AZ22"")"),0)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IFERROR(__xludf.DUMMYFUNCTION("IMPORTRANGE(""https://docs.google.com/spreadsheets/d/1QqKyyYR6Q21VydFLVH3TRQUabQu_ym0Zz7PgGX0-kHA/edit?usp=sharing"",""แผน!BA22"")"),0)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IFERROR(__xludf.DUMMYFUNCTION("IMPORTRANGE(""https://docs.google.com/spreadsheets/d/1QqKyyYR6Q21VydFLVH3TRQUabQu_ym0Zz7PgGX0-kHA/edit?usp=sharing"",""แผน!BB22"")"),0)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IFERROR(__xludf.DUMMYFUNCTION("IMPORTRANGE(""https://docs.google.com/spreadsheets/d/1QqKyyYR6Q21VydFLVH3TRQUabQu_ym0Zz7PgGX0-kHA/edit?usp=sharing"",""แผน!BC22"")"),0)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IFERROR(__xludf.DUMMYFUNCTION("IMPORTRANGE(""https://docs.google.com/spreadsheets/d/1QqKyyYR6Q21VydFLVH3TRQUabQu_ym0Zz7PgGX0-kHA/edit?usp=sharing"",""แผน!BF22"")"),0)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22350</v>
      </c>
      <c r="O261" s="155">
        <f t="shared" ref="O261:O269" ca="1" si="117">IF(L261&gt;0,N261*100/L261,0)</f>
        <v>77.604166666666671</v>
      </c>
      <c r="P261" s="155">
        <f t="shared" ref="P261:P269" ca="1" si="118">IF(M261&gt;0,N261*100/M261,0)</f>
        <v>86.627906976744185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22350</v>
      </c>
      <c r="O263" s="93">
        <f t="shared" ca="1" si="117"/>
        <v>77.604166666666671</v>
      </c>
      <c r="P263" s="93">
        <f t="shared" ca="1" si="118"/>
        <v>86.627906976744185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25800</v>
      </c>
      <c r="N264" s="466">
        <f t="shared" ca="1" si="120"/>
        <v>22350</v>
      </c>
      <c r="O264" s="466">
        <f t="shared" ca="1" si="117"/>
        <v>77.604166666666671</v>
      </c>
      <c r="P264" s="466">
        <f t="shared" ca="1" si="118"/>
        <v>86.627906976744185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IFERROR(__xludf.DUMMYFUNCTION("IMPORTRANGE(""https://docs.google.com/spreadsheets/d/1MeEWN-I1oV_STSDYn1IFDPWt_1FKiwhDph83XaGc0o0/edit?usp=sharing"",""งบพรบ!CY22"")"),28800)</f>
        <v>28800</v>
      </c>
      <c r="M266" s="93">
        <f ca="1">IFERROR(__xludf.DUMMYFUNCTION("IMPORTRANGE(""https://docs.google.com/spreadsheets/d/1MeEWN-I1oV_STSDYn1IFDPWt_1FKiwhDph83XaGc0o0/edit?usp=sharing"",""งบพรบ!DD22"")"),25800)</f>
        <v>25800</v>
      </c>
      <c r="N266" s="93">
        <f ca="1">IFERROR(__xludf.DUMMYFUNCTION("IMPORTRANGE(""https://docs.google.com/spreadsheets/d/1MeEWN-I1oV_STSDYn1IFDPWt_1FKiwhDph83XaGc0o0/edit?usp=sharing"",""งบพรบ!DF22"")"),22350)</f>
        <v>22350</v>
      </c>
      <c r="O266" s="93">
        <f t="shared" ca="1" si="117"/>
        <v>77.604166666666671</v>
      </c>
      <c r="P266" s="93">
        <f t="shared" ca="1" si="118"/>
        <v>86.627906976744185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IFERROR(__xludf.DUMMYFUNCTION("IMPORTRANGE(""https://docs.google.com/spreadsheets/d/1MeEWN-I1oV_STSDYn1IFDPWt_1FKiwhDph83XaGc0o0/edit?usp=sharing"",""งบพรบ!DB22"")"),0)</f>
        <v>0</v>
      </c>
      <c r="M269" s="93">
        <f ca="1">IFERROR(__xludf.DUMMYFUNCTION("IMPORTRANGE(""https://docs.google.com/spreadsheets/d/1MeEWN-I1oV_STSDYn1IFDPWt_1FKiwhDph83XaGc0o0/edit?usp=sharing"",""งบพรบ!DE22"")"),0)</f>
        <v>0</v>
      </c>
      <c r="N269" s="93">
        <f ca="1">IFERROR(__xludf.DUMMYFUNCTION("IMPORTRANGE(""https://docs.google.com/spreadsheets/d/1MeEWN-I1oV_STSDYn1IFDPWt_1FKiwhDph83XaGc0o0/edit?usp=sharing"",""งบพรบ!DG22"")"),0)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IFERROR(__xludf.DUMMYFUNCTION("IMPORTRANGE(""https://docs.google.com/spreadsheets/d/1QqKyyYR6Q21VydFLVH3TRQUabQu_ym0Zz7PgGX0-kHA/edit?usp=sharing"",""แผน!EA22"")"),24)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480</v>
      </c>
      <c r="O277" s="155">
        <f t="shared" ref="O277:O285" ca="1" si="126">IF(L277&gt;0,N277*100/L277,0)</f>
        <v>1.1704462326261886</v>
      </c>
      <c r="P277" s="155">
        <f t="shared" ref="P277:P285" ca="1" si="127">IF(M277&gt;0,N277*100/M277,0)</f>
        <v>2.1867881548974943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480</v>
      </c>
      <c r="O279" s="93">
        <f t="shared" ca="1" si="126"/>
        <v>1.1704462326261886</v>
      </c>
      <c r="P279" s="93">
        <f t="shared" ca="1" si="127"/>
        <v>2.1867881548974943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21950</v>
      </c>
      <c r="N280" s="466">
        <f t="shared" ca="1" si="129"/>
        <v>480</v>
      </c>
      <c r="O280" s="466">
        <f t="shared" ca="1" si="126"/>
        <v>1.1704462326261886</v>
      </c>
      <c r="P280" s="466">
        <f t="shared" ca="1" si="127"/>
        <v>2.1867881548974943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IFERROR(__xludf.DUMMYFUNCTION("IMPORTRANGE(""https://docs.google.com/spreadsheets/d/1MeEWN-I1oV_STSDYn1IFDPWt_1FKiwhDph83XaGc0o0/edit?usp=sharing"",""งบพรบ!DI22"")"),41010)</f>
        <v>41010</v>
      </c>
      <c r="M282" s="93">
        <f ca="1">IFERROR(__xludf.DUMMYFUNCTION("IMPORTRANGE(""https://docs.google.com/spreadsheets/d/1MeEWN-I1oV_STSDYn1IFDPWt_1FKiwhDph83XaGc0o0/edit?usp=sharing"",""งบพรบ!DN22"")"),21950)</f>
        <v>21950</v>
      </c>
      <c r="N282" s="93">
        <f ca="1">IFERROR(__xludf.DUMMYFUNCTION("IMPORTRANGE(""https://docs.google.com/spreadsheets/d/1MeEWN-I1oV_STSDYn1IFDPWt_1FKiwhDph83XaGc0o0/edit?usp=sharing"",""งบพรบ!DP22"")"),480)</f>
        <v>480</v>
      </c>
      <c r="O282" s="93">
        <f t="shared" ca="1" si="126"/>
        <v>1.1704462326261886</v>
      </c>
      <c r="P282" s="93">
        <f t="shared" ca="1" si="127"/>
        <v>2.1867881548974943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IFERROR(__xludf.DUMMYFUNCTION("IMPORTRANGE(""https://docs.google.com/spreadsheets/d/1MeEWN-I1oV_STSDYn1IFDPWt_1FKiwhDph83XaGc0o0/edit?usp=sharing"",""งบพรบ!DL22"")"),0)</f>
        <v>0</v>
      </c>
      <c r="M285" s="93">
        <f ca="1">IFERROR(__xludf.DUMMYFUNCTION("IMPORTRANGE(""https://docs.google.com/spreadsheets/d/1MeEWN-I1oV_STSDYn1IFDPWt_1FKiwhDph83XaGc0o0/edit?usp=sharing"",""งบพรบ!DO22"")"),0)</f>
        <v>0</v>
      </c>
      <c r="N285" s="93">
        <f ca="1">IFERROR(__xludf.DUMMYFUNCTION("IMPORTRANGE(""https://docs.google.com/spreadsheets/d/1MeEWN-I1oV_STSDYn1IFDPWt_1FKiwhDph83XaGc0o0/edit?usp=sharing"",""งบพรบ!DQ22"")"),0)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IFERROR(__xludf.DUMMYFUNCTION("IMPORTRANGE(""https://docs.google.com/spreadsheets/d/1QqKyyYR6Q21VydFLVH3TRQUabQu_ym0Zz7PgGX0-kHA/edit?usp=sharing"",""แผน!EC22"")"),100)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IFERROR(__xludf.DUMMYFUNCTION("IMPORTRANGE(""https://docs.google.com/spreadsheets/d/1QqKyyYR6Q21VydFLVH3TRQUabQu_ym0Zz7PgGX0-kHA/edit?usp=sharing"",""แผน!EB22"")"),10)</f>
        <v>10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IFERROR(__xludf.DUMMYFUNCTION("IMPORTRANGE(""https://docs.google.com/spreadsheets/d/1QqKyyYR6Q21VydFLVH3TRQUabQu_ym0Zz7PgGX0-kHA/edit?usp=sharing"",""แผน!EB22"")"),10)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IFERROR(__xludf.DUMMYFUNCTION("IMPORTRANGE(""https://docs.google.com/spreadsheets/d/1QqKyyYR6Q21VydFLVH3TRQUabQu_ym0Zz7PgGX0-kHA/edit?usp=sharing"",""แผน!EB22"")"),10)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IFERROR(__xludf.DUMMYFUNCTION("IMPORTRANGE(""https://docs.google.com/spreadsheets/d/1QqKyyYR6Q21VydFLVH3TRQUabQu_ym0Zz7PgGX0-kHA/edit?usp=sharing"",""แผน!EB22"")"),10)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IFERROR(__xludf.DUMMYFUNCTION("IMPORTRANGE(""https://docs.google.com/spreadsheets/d/1QqKyyYR6Q21VydFLVH3TRQUabQu_ym0Zz7PgGX0-kHA/edit?usp=sharing"",""แผน!EB22"")"),10)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IFERROR(__xludf.DUMMYFUNCTION("IMPORTRANGE(""https://docs.google.com/spreadsheets/d/1MeEWN-I1oV_STSDYn1IFDPWt_1FKiwhDph83XaGc0o0/edit?usp=sharing"",""งบพรบ!DS22"")"),0)</f>
        <v>0</v>
      </c>
      <c r="M303" s="93">
        <f ca="1">IFERROR(__xludf.DUMMYFUNCTION("IMPORTRANGE(""https://docs.google.com/spreadsheets/d/1MeEWN-I1oV_STSDYn1IFDPWt_1FKiwhDph83XaGc0o0/edit?usp=sharing"",""งบพรบ!DX22"")"),0)</f>
        <v>0</v>
      </c>
      <c r="N303" s="93">
        <f ca="1">IFERROR(__xludf.DUMMYFUNCTION("IMPORTRANGE(""https://docs.google.com/spreadsheets/d/1MeEWN-I1oV_STSDYn1IFDPWt_1FKiwhDph83XaGc0o0/edit?usp=sharing"",""งบพรบ!DZ22"")"),0)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IFERROR(__xludf.DUMMYFUNCTION("IMPORTRANGE(""https://docs.google.com/spreadsheets/d/1MeEWN-I1oV_STSDYn1IFDPWt_1FKiwhDph83XaGc0o0/edit?usp=sharing"",""งบพรบ!DV22"")"),0)</f>
        <v>0</v>
      </c>
      <c r="M306" s="93">
        <f ca="1">IFERROR(__xludf.DUMMYFUNCTION("IMPORTRANGE(""https://docs.google.com/spreadsheets/d/1MeEWN-I1oV_STSDYn1IFDPWt_1FKiwhDph83XaGc0o0/edit?usp=sharing"",""งบพรบ!DY22"")"),0)</f>
        <v>0</v>
      </c>
      <c r="N306" s="93">
        <f ca="1">IFERROR(__xludf.DUMMYFUNCTION("IMPORTRANGE(""https://docs.google.com/spreadsheets/d/1MeEWN-I1oV_STSDYn1IFDPWt_1FKiwhDph83XaGc0o0/edit?usp=sharing"",""งบพรบ!EA22"")"),0)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IFERROR(__xludf.DUMMYFUNCTION("IMPORTRANGE(""https://docs.google.com/spreadsheets/d/1QqKyyYR6Q21VydFLVH3TRQUabQu_ym0Zz7PgGX0-kHA/edit?usp=sharing"",""แผน!ED22"")"),0)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IFERROR(__xludf.DUMMYFUNCTION("IMPORTRANGE(""https://docs.google.com/spreadsheets/d/1QqKyyYR6Q21VydFLVH3TRQUabQu_ym0Zz7PgGX0-kHA/edit?usp=sharing"",""แผน!ED22"")"),0)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IFERROR(__xludf.DUMMYFUNCTION("IMPORTRANGE(""https://docs.google.com/spreadsheets/d/1QqKyyYR6Q21VydFLVH3TRQUabQu_ym0Zz7PgGX0-kHA/edit?usp=sharing"",""แผน!ED22"")"),0)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IFERROR(__xludf.DUMMYFUNCTION("IMPORTRANGE(""https://docs.google.com/spreadsheets/d/1QqKyyYR6Q21VydFLVH3TRQUabQu_ym0Zz7PgGX0-kHA/edit?usp=sharing"",""แผน!EE22"")"),0)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IFERROR(__xludf.DUMMYFUNCTION("IMPORTRANGE(""https://docs.google.com/spreadsheets/d/1MeEWN-I1oV_STSDYn1IFDPWt_1FKiwhDph83XaGc0o0/edit?usp=sharing"",""งบพรบ!EC22"")"),0)</f>
        <v>0</v>
      </c>
      <c r="M320" s="93">
        <f ca="1">IFERROR(__xludf.DUMMYFUNCTION("IMPORTRANGE(""https://docs.google.com/spreadsheets/d/1MeEWN-I1oV_STSDYn1IFDPWt_1FKiwhDph83XaGc0o0/edit?usp=sharing"",""งบพรบ!EH22"")"),0)</f>
        <v>0</v>
      </c>
      <c r="N320" s="93">
        <f ca="1">IFERROR(__xludf.DUMMYFUNCTION("IMPORTRANGE(""https://docs.google.com/spreadsheets/d/1MeEWN-I1oV_STSDYn1IFDPWt_1FKiwhDph83XaGc0o0/edit?usp=sharing"",""งบพรบ!EJ22"")"),0)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IFERROR(__xludf.DUMMYFUNCTION("IMPORTRANGE(""https://docs.google.com/spreadsheets/d/1MeEWN-I1oV_STSDYn1IFDPWt_1FKiwhDph83XaGc0o0/edit?usp=sharing"",""งบพรบ!EF22"")"),0)</f>
        <v>0</v>
      </c>
      <c r="M323" s="93">
        <f ca="1">IFERROR(__xludf.DUMMYFUNCTION("IMPORTRANGE(""https://docs.google.com/spreadsheets/d/1MeEWN-I1oV_STSDYn1IFDPWt_1FKiwhDph83XaGc0o0/edit?usp=sharing"",""งบพรบ!EI22"")"),0)</f>
        <v>0</v>
      </c>
      <c r="N323" s="93">
        <f ca="1">IFERROR(__xludf.DUMMYFUNCTION("IMPORTRANGE(""https://docs.google.com/spreadsheets/d/1MeEWN-I1oV_STSDYn1IFDPWt_1FKiwhDph83XaGc0o0/edit?usp=sharing"",""งบพรบ!EK22"")"),0)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IFERROR(__xludf.DUMMYFUNCTION("IMPORTRANGE(""https://docs.google.com/spreadsheets/d/1QqKyyYR6Q21VydFLVH3TRQUabQu_ym0Zz7PgGX0-kHA/edit?usp=sharing"",""แผน!EF22"")"),0)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IFERROR(__xludf.DUMMYFUNCTION("IMPORTRANGE(""https://docs.google.com/spreadsheets/d/1QqKyyYR6Q21VydFLVH3TRQUabQu_ym0Zz7PgGX0-kHA/edit?usp=sharing"",""แผน!EG22"")"),1600)</f>
        <v>1600</v>
      </c>
      <c r="J327" s="413">
        <f ca="1">J338+J341+J342+J343</f>
        <v>684</v>
      </c>
      <c r="K327" s="414">
        <f ca="1">IF(I327&gt;0,J327*100/I327,0)</f>
        <v>42.75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174000</v>
      </c>
      <c r="M328" s="155">
        <f t="shared" ca="1" si="149"/>
        <v>87000</v>
      </c>
      <c r="N328" s="155">
        <f t="shared" ca="1" si="149"/>
        <v>48490</v>
      </c>
      <c r="O328" s="155">
        <f t="shared" ref="O328:O336" ca="1" si="150">IF(L328&gt;0,N328*100/L328,0)</f>
        <v>27.867816091954023</v>
      </c>
      <c r="P328" s="155">
        <f t="shared" ref="P328:P336" ca="1" si="151">IF(M328&gt;0,N328*100/M328,0)</f>
        <v>55.735632183908045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174000</v>
      </c>
      <c r="M330" s="93">
        <f t="shared" ca="1" si="152"/>
        <v>87000</v>
      </c>
      <c r="N330" s="93">
        <f t="shared" ca="1" si="152"/>
        <v>48490</v>
      </c>
      <c r="O330" s="93">
        <f t="shared" ca="1" si="150"/>
        <v>27.867816091954023</v>
      </c>
      <c r="P330" s="93">
        <f t="shared" ca="1" si="151"/>
        <v>55.735632183908045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174000</v>
      </c>
      <c r="M331" s="466">
        <f t="shared" ca="1" si="153"/>
        <v>87000</v>
      </c>
      <c r="N331" s="466">
        <f t="shared" ca="1" si="153"/>
        <v>48490</v>
      </c>
      <c r="O331" s="466">
        <f t="shared" ca="1" si="150"/>
        <v>27.867816091954023</v>
      </c>
      <c r="P331" s="466">
        <f t="shared" ca="1" si="151"/>
        <v>55.735632183908045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IFERROR(__xludf.DUMMYFUNCTION("IMPORTRANGE(""https://docs.google.com/spreadsheets/d/1MeEWN-I1oV_STSDYn1IFDPWt_1FKiwhDph83XaGc0o0/edit?usp=sharing"",""งบพรบ!EM22"")"),174000)</f>
        <v>174000</v>
      </c>
      <c r="M333" s="93">
        <f ca="1">IFERROR(__xludf.DUMMYFUNCTION("IMPORTRANGE(""https://docs.google.com/spreadsheets/d/1MeEWN-I1oV_STSDYn1IFDPWt_1FKiwhDph83XaGc0o0/edit?usp=sharing"",""งบพรบ!ER22"")"),87000)</f>
        <v>87000</v>
      </c>
      <c r="N333" s="93">
        <f ca="1">IFERROR(__xludf.DUMMYFUNCTION("IMPORTRANGE(""https://docs.google.com/spreadsheets/d/1MeEWN-I1oV_STSDYn1IFDPWt_1FKiwhDph83XaGc0o0/edit?usp=sharing"",""งบพรบ!ET22"")"),48490)</f>
        <v>48490</v>
      </c>
      <c r="O333" s="93">
        <f t="shared" ca="1" si="150"/>
        <v>27.867816091954023</v>
      </c>
      <c r="P333" s="93">
        <f t="shared" ca="1" si="151"/>
        <v>55.735632183908045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IFERROR(__xludf.DUMMYFUNCTION("IMPORTRANGE(""https://docs.google.com/spreadsheets/d/1MeEWN-I1oV_STSDYn1IFDPWt_1FKiwhDph83XaGc0o0/edit?usp=sharing"",""งบพรบ!EP22"")"),0)</f>
        <v>0</v>
      </c>
      <c r="M336" s="93">
        <f ca="1">IFERROR(__xludf.DUMMYFUNCTION("IMPORTRANGE(""https://docs.google.com/spreadsheets/d/1MeEWN-I1oV_STSDYn1IFDPWt_1FKiwhDph83XaGc0o0/edit?usp=sharing"",""งบพรบ!ES22"")"),0)</f>
        <v>0</v>
      </c>
      <c r="N336" s="93">
        <f ca="1">IFERROR(__xludf.DUMMYFUNCTION("IMPORTRANGE(""https://docs.google.com/spreadsheets/d/1MeEWN-I1oV_STSDYn1IFDPWt_1FKiwhDph83XaGc0o0/edit?usp=sharing"",""งบพรบ!EU22"")"),0)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IFERROR(__xludf.DUMMYFUNCTION("IMPORTRANGE(""https://docs.google.com/spreadsheets/d/1QqKyyYR6Q21VydFLVH3TRQUabQu_ym0Zz7PgGX0-kHA/edit?usp=sharing"",""แผน!EG22"")"),1600)</f>
        <v>1600</v>
      </c>
      <c r="J338" s="270">
        <f ca="1">IFERROR(__xludf.DUMMYFUNCTION("IMPORTRANGE(""https://docs.google.com/spreadsheets/d/1kVcqe37tkHyjCSG3S0O1AXqVkqjo8mSIZil3BcpIysc/edit?usp=sharing"",""ศูนย์!D22"")"),652)</f>
        <v>652</v>
      </c>
      <c r="K338" s="466">
        <f ca="1">IF(I338&gt;0,J338*100/I338,0)</f>
        <v>40.75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IFERROR(__xludf.DUMMYFUNCTION("IMPORTRANGE(""https://docs.google.com/spreadsheets/d/1QqKyyYR6Q21VydFLVH3TRQUabQu_ym0Zz7PgGX0-kHA/edit?usp=sharing"",""แผน!EH22"")"),8)</f>
        <v>8</v>
      </c>
      <c r="J340" s="270">
        <f ca="1">IFERROR(__xludf.DUMMYFUNCTION("IMPORTRANGE(""https://docs.google.com/spreadsheets/d/1kVcqe37tkHyjCSG3S0O1AXqVkqjo8mSIZil3BcpIysc/edit?usp=sharing"",""ศูนย์!E22"")"),2)</f>
        <v>2</v>
      </c>
      <c r="K340" s="466">
        <f ca="1">IF(I340&gt;0,J340*100/I340,0)</f>
        <v>25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IFERROR(__xludf.DUMMYFUNCTION("IMPORTRANGE(""https://docs.google.com/spreadsheets/d/1kVcqe37tkHyjCSG3S0O1AXqVkqjo8mSIZil3BcpIysc/edit?usp=sharing"",""ศูนย์!F22"")"),31)</f>
        <v>31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IFERROR(__xludf.DUMMYFUNCTION("IMPORTRANGE(""https://docs.google.com/spreadsheets/d/1kVcqe37tkHyjCSG3S0O1AXqVkqjo8mSIZil3BcpIysc/edit?usp=sharing"",""ศูนย์!G22"")"),1)</f>
        <v>1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IFERROR(__xludf.DUMMYFUNCTION("IMPORTRANGE(""https://docs.google.com/spreadsheets/d/1kVcqe37tkHyjCSG3S0O1AXqVkqjo8mSIZil3BcpIysc/edit?usp=sharing"",""ศูนย์!H22"")"),0)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702430</v>
      </c>
      <c r="M345" s="155">
        <f t="shared" ca="1" si="155"/>
        <v>455620</v>
      </c>
      <c r="N345" s="155">
        <f t="shared" ca="1" si="155"/>
        <v>344921.70999999996</v>
      </c>
      <c r="O345" s="155">
        <f t="shared" ref="O345:O353" ca="1" si="156">IF(L345&gt;0,N345*100/L345,0)</f>
        <v>49.104068732827471</v>
      </c>
      <c r="P345" s="155">
        <f t="shared" ref="P345:P353" ca="1" si="157">IF(M345&gt;0,N345*100/M345,0)</f>
        <v>75.70381238751591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702430</v>
      </c>
      <c r="M347" s="93">
        <f t="shared" ca="1" si="158"/>
        <v>455620</v>
      </c>
      <c r="N347" s="93">
        <f t="shared" ca="1" si="158"/>
        <v>344921.70999999996</v>
      </c>
      <c r="O347" s="93">
        <f t="shared" ca="1" si="156"/>
        <v>49.104068732827471</v>
      </c>
      <c r="P347" s="93">
        <f t="shared" ca="1" si="157"/>
        <v>75.70381238751591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493630</v>
      </c>
      <c r="M348" s="466">
        <f t="shared" ca="1" si="159"/>
        <v>246820</v>
      </c>
      <c r="N348" s="466">
        <f t="shared" ca="1" si="159"/>
        <v>136121.71</v>
      </c>
      <c r="O348" s="466">
        <f t="shared" ca="1" si="156"/>
        <v>27.575655855600349</v>
      </c>
      <c r="P348" s="466">
        <f t="shared" ca="1" si="157"/>
        <v>55.150194473705533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IFERROR(__xludf.DUMMYFUNCTION("IMPORTRANGE(""https://docs.google.com/spreadsheets/d/1MeEWN-I1oV_STSDYn1IFDPWt_1FKiwhDph83XaGc0o0/edit?usp=sharing"",""งบพรบ!EW22"")"),493630)</f>
        <v>493630</v>
      </c>
      <c r="M350" s="93">
        <f ca="1">IFERROR(__xludf.DUMMYFUNCTION("IMPORTRANGE(""https://docs.google.com/spreadsheets/d/1MeEWN-I1oV_STSDYn1IFDPWt_1FKiwhDph83XaGc0o0/edit?usp=sharing"",""งบพรบ!FB22"")"),246820)</f>
        <v>246820</v>
      </c>
      <c r="N350" s="93">
        <f ca="1">IFERROR(__xludf.DUMMYFUNCTION("IMPORTRANGE(""https://docs.google.com/spreadsheets/d/1MeEWN-I1oV_STSDYn1IFDPWt_1FKiwhDph83XaGc0o0/edit?usp=sharing"",""งบพรบ!FD22"")"),136121.71)</f>
        <v>136121.71</v>
      </c>
      <c r="O350" s="93">
        <f t="shared" ca="1" si="156"/>
        <v>27.575655855600349</v>
      </c>
      <c r="P350" s="93">
        <f t="shared" ca="1" si="157"/>
        <v>55.150194473705533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208800</v>
      </c>
      <c r="M351" s="466">
        <f t="shared" ca="1" si="160"/>
        <v>208800</v>
      </c>
      <c r="N351" s="466">
        <f t="shared" ca="1" si="160"/>
        <v>208800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IFERROR(__xludf.DUMMYFUNCTION("IMPORTRANGE(""https://docs.google.com/spreadsheets/d/1MeEWN-I1oV_STSDYn1IFDPWt_1FKiwhDph83XaGc0o0/edit?usp=sharing"",""งบพรบ!EZ22"")"),208800)</f>
        <v>208800</v>
      </c>
      <c r="M353" s="93">
        <f ca="1">IFERROR(__xludf.DUMMYFUNCTION("IMPORTRANGE(""https://docs.google.com/spreadsheets/d/1MeEWN-I1oV_STSDYn1IFDPWt_1FKiwhDph83XaGc0o0/edit?usp=sharing"",""งบพรบ!FC22"")"),208800)</f>
        <v>208800</v>
      </c>
      <c r="N353" s="93">
        <f ca="1">IFERROR(__xludf.DUMMYFUNCTION("IMPORTRANGE(""https://docs.google.com/spreadsheets/d/1MeEWN-I1oV_STSDYn1IFDPWt_1FKiwhDph83XaGc0o0/edit?usp=sharing"",""งบพรบ!FE22"")"),208800)</f>
        <v>208800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IFERROR(__xludf.DUMMYFUNCTION("IMPORTRANGE(""https://docs.google.com/spreadsheets/d/1QqKyyYR6Q21VydFLVH3TRQUabQu_ym0Zz7PgGX0-kHA/edit?usp=sharing"",""แผน!EP22"")"),190)</f>
        <v>190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IFERROR(__xludf.DUMMYFUNCTION("IMPORTRANGE(""https://docs.google.com/spreadsheets/d/1XWAQStnk-4SwqDmLtmXYiTMKHgktTP8We1SCoS47DrQ/edit?usp=sharing"",""จัดที่ดิน!W22"")"),0)</f>
        <v>0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IFERROR(__xludf.DUMMYFUNCTION("IMPORTRANGE(""https://docs.google.com/spreadsheets/d/1QqKyyYR6Q21VydFLVH3TRQUabQu_ym0Zz7PgGX0-kHA/edit?usp=sharing"",""แผน!EO22"")"),1850)</f>
        <v>1850</v>
      </c>
      <c r="J359" s="270">
        <f ca="1">IFERROR(__xludf.DUMMYFUNCTION("IMPORTRANGE(""https://docs.google.com/spreadsheets/d/1XWAQStnk-4SwqDmLtmXYiTMKHgktTP8We1SCoS47DrQ/edit?usp=sharing"",""จัดที่ดิน!X22"")"),0)</f>
        <v>0</v>
      </c>
      <c r="K359" s="466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IFERROR(__xludf.DUMMYFUNCTION("IMPORTRANGE(""https://docs.google.com/spreadsheets/d/1QqKyyYR6Q21VydFLVH3TRQUabQu_ym0Zz7PgGX0-kHA/edit?usp=sharing"",""แผน!EP22"")"),190)</f>
        <v>190</v>
      </c>
      <c r="J360" s="270">
        <f ca="1">IFERROR(__xludf.DUMMYFUNCTION("IMPORTRANGE(""https://docs.google.com/spreadsheets/d/1XWAQStnk-4SwqDmLtmXYiTMKHgktTP8We1SCoS47DrQ/edit?usp=sharing"",""จัดที่ดิน!Y22"")"),0)</f>
        <v>0</v>
      </c>
      <c r="K360" s="466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IFERROR(__xludf.DUMMYFUNCTION("IMPORTRANGE(""https://docs.google.com/spreadsheets/d/1XWAQStnk-4SwqDmLtmXYiTMKHgktTP8We1SCoS47DrQ/edit?usp=sharing"",""จัดที่ดิน!Z22"")"),0)</f>
        <v>0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IFERROR(__xludf.DUMMYFUNCTION("IMPORTRANGE(""https://docs.google.com/spreadsheets/d/1QqKyyYR6Q21VydFLVH3TRQUabQu_ym0Zz7PgGX0-kHA/edit?usp=sharing"",""แผน!EP22"")"),190)</f>
        <v>190</v>
      </c>
      <c r="J362" s="270">
        <f ca="1">IFERROR(__xludf.DUMMYFUNCTION("IMPORTRANGE(""https://docs.google.com/spreadsheets/d/1XWAQStnk-4SwqDmLtmXYiTMKHgktTP8We1SCoS47DrQ/edit?usp=sharing"",""จัดที่ดิน!AA22"")"),0)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IFERROR(__xludf.DUMMYFUNCTION("IMPORTRANGE(""https://docs.google.com/spreadsheets/d/1XWAQStnk-4SwqDmLtmXYiTMKHgktTP8We1SCoS47DrQ/edit?usp=sharing"",""จัดที่ดิน!AB22"")"),0)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530</v>
      </c>
      <c r="J364" s="447">
        <f t="shared" ca="1" si="162"/>
        <v>0</v>
      </c>
      <c r="K364" s="448">
        <f t="shared" ca="1" si="161"/>
        <v>0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IFERROR(__xludf.DUMMYFUNCTION("IMPORTRANGE(""https://docs.google.com/spreadsheets/d/1QqKyyYR6Q21VydFLVH3TRQUabQu_ym0Zz7PgGX0-kHA/edit?usp=sharing"",""แผน!EJ22"")"),150)</f>
        <v>150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IFERROR(__xludf.DUMMYFUNCTION("IMPORTRANGE(""https://docs.google.com/spreadsheets/d/1XWAQStnk-4SwqDmLtmXYiTMKHgktTP8We1SCoS47DrQ/edit?usp=sharing"",""จัดที่ดิน!E22"")"),0)</f>
        <v>0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IFERROR(__xludf.DUMMYFUNCTION("IMPORTRANGE(""https://docs.google.com/spreadsheets/d/1QqKyyYR6Q21VydFLVH3TRQUabQu_ym0Zz7PgGX0-kHA/edit?usp=sharing"",""แผน!EI22"")"),1500)</f>
        <v>1500</v>
      </c>
      <c r="J369" s="270">
        <f ca="1">IFERROR(__xludf.DUMMYFUNCTION("IMPORTRANGE(""https://docs.google.com/spreadsheets/d/1XWAQStnk-4SwqDmLtmXYiTMKHgktTP8We1SCoS47DrQ/edit?usp=sharing"",""จัดที่ดิน!F22"")"),0)</f>
        <v>0</v>
      </c>
      <c r="K369" s="466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IFERROR(__xludf.DUMMYFUNCTION("IMPORTRANGE(""https://docs.google.com/spreadsheets/d/1QqKyyYR6Q21VydFLVH3TRQUabQu_ym0Zz7PgGX0-kHA/edit?usp=sharing"",""แผน!EJ22"")"),150)</f>
        <v>150</v>
      </c>
      <c r="J370" s="270">
        <f ca="1">IFERROR(__xludf.DUMMYFUNCTION("IMPORTRANGE(""https://docs.google.com/spreadsheets/d/1XWAQStnk-4SwqDmLtmXYiTMKHgktTP8We1SCoS47DrQ/edit?usp=sharing"",""จัดที่ดิน!G22"")"),0)</f>
        <v>0</v>
      </c>
      <c r="K370" s="46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IFERROR(__xludf.DUMMYFUNCTION("IMPORTRANGE(""https://docs.google.com/spreadsheets/d/1XWAQStnk-4SwqDmLtmXYiTMKHgktTP8We1SCoS47DrQ/edit?usp=sharing"",""จัดที่ดิน!H22"")"),0)</f>
        <v>0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IFERROR(__xludf.DUMMYFUNCTION("IMPORTRANGE(""https://docs.google.com/spreadsheets/d/1QqKyyYR6Q21VydFLVH3TRQUabQu_ym0Zz7PgGX0-kHA/edit?usp=sharing"",""แผน!EJ22"")"),150)</f>
        <v>150</v>
      </c>
      <c r="J372" s="270">
        <f ca="1">IFERROR(__xludf.DUMMYFUNCTION("IMPORTRANGE(""https://docs.google.com/spreadsheets/d/1XWAQStnk-4SwqDmLtmXYiTMKHgktTP8We1SCoS47DrQ/edit?usp=sharing"",""จัดที่ดิน!I22"")"),0)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IFERROR(__xludf.DUMMYFUNCTION("IMPORTRANGE(""https://docs.google.com/spreadsheets/d/1XWAQStnk-4SwqDmLtmXYiTMKHgktTP8We1SCoS47DrQ/edit?usp=sharing"",""จัดที่ดิน!J22"")"),0)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IFERROR(__xludf.DUMMYFUNCTION("IMPORTRANGE(""https://docs.google.com/spreadsheets/d/1QqKyyYR6Q21VydFLVH3TRQUabQu_ym0Zz7PgGX0-kHA/edit?usp=sharing"",""แผน!EU22"")"),380)</f>
        <v>380</v>
      </c>
      <c r="J374" s="459">
        <f ca="1">J381</f>
        <v>0</v>
      </c>
      <c r="K374" s="460">
        <f t="shared" ca="1" si="163"/>
        <v>0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IFERROR(__xludf.DUMMYFUNCTION("IMPORTRANGE(""https://docs.google.com/spreadsheets/d/1XWAQStnk-4SwqDmLtmXYiTMKHgktTP8We1SCoS47DrQ/edit?usp=sharing"",""จัดที่ดิน!AH22"")"),0)</f>
        <v>0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IFERROR(__xludf.DUMMYFUNCTION("IMPORTRANGE(""https://docs.google.com/spreadsheets/d/1QqKyyYR6Q21VydFLVH3TRQUabQu_ym0Zz7PgGX0-kHA/edit?usp=sharing"",""แผน!ET22"")"),350)</f>
        <v>350</v>
      </c>
      <c r="J378" s="270">
        <f ca="1">IFERROR(__xludf.DUMMYFUNCTION("IMPORTRANGE(""https://docs.google.com/spreadsheets/d/1XWAQStnk-4SwqDmLtmXYiTMKHgktTP8We1SCoS47DrQ/edit?usp=sharing"",""จัดที่ดิน!AI22"")"),0)</f>
        <v>0</v>
      </c>
      <c r="K378" s="46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IFERROR(__xludf.DUMMYFUNCTION("IMPORTRANGE(""https://docs.google.com/spreadsheets/d/1QqKyyYR6Q21VydFLVH3TRQUabQu_ym0Zz7PgGX0-kHA/edit?usp=sharing"",""แผน!EU22"")"),380)</f>
        <v>380</v>
      </c>
      <c r="J379" s="270">
        <f ca="1">IFERROR(__xludf.DUMMYFUNCTION("IMPORTRANGE(""https://docs.google.com/spreadsheets/d/1XWAQStnk-4SwqDmLtmXYiTMKHgktTP8We1SCoS47DrQ/edit?usp=sharing"",""จัดที่ดิน!AJ22"")"),0)</f>
        <v>0</v>
      </c>
      <c r="K379" s="466">
        <f t="shared" ca="1" si="164"/>
        <v>0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IFERROR(__xludf.DUMMYFUNCTION("IMPORTRANGE(""https://docs.google.com/spreadsheets/d/1XWAQStnk-4SwqDmLtmXYiTMKHgktTP8We1SCoS47DrQ/edit?usp=sharing"",""จัดที่ดิน!AK22"")"),0)</f>
        <v>0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IFERROR(__xludf.DUMMYFUNCTION("IMPORTRANGE(""https://docs.google.com/spreadsheets/d/1QqKyyYR6Q21VydFLVH3TRQUabQu_ym0Zz7PgGX0-kHA/edit?usp=sharing"",""แผน!EU22"")"),380)</f>
        <v>380</v>
      </c>
      <c r="J381" s="270">
        <f ca="1">IFERROR(__xludf.DUMMYFUNCTION("IMPORTRANGE(""https://docs.google.com/spreadsheets/d/1XWAQStnk-4SwqDmLtmXYiTMKHgktTP8We1SCoS47DrQ/edit?usp=sharing"",""จัดที่ดิน!AL22"")"),0)</f>
        <v>0</v>
      </c>
      <c r="K381" s="466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IFERROR(__xludf.DUMMYFUNCTION("IMPORTRANGE(""https://docs.google.com/spreadsheets/d/1XWAQStnk-4SwqDmLtmXYiTMKHgktTP8We1SCoS47DrQ/edit?usp=sharing"",""จัดที่ดิน!AM22"")"),0)</f>
        <v>0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IFERROR(__xludf.DUMMYFUNCTION("IMPORTRANGE(""https://docs.google.com/spreadsheets/d/1QqKyyYR6Q21VydFLVH3TRQUabQu_ym0Zz7PgGX0-kHA/edit?usp=sharing"",""แผน!EW22"")"),20)</f>
        <v>20</v>
      </c>
      <c r="J385" s="469">
        <f ca="1">IFERROR(__xludf.DUMMYFUNCTION("IMPORTRANGE(""https://docs.google.com/spreadsheets/d/1XWAQStnk-4SwqDmLtmXYiTMKHgktTP8We1SCoS47DrQ/edit?usp=sharing"",""จัดที่ดิน!AP22"")"),0)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IFERROR(__xludf.DUMMYFUNCTION("IMPORTRANGE(""https://docs.google.com/spreadsheets/d/1MeEWN-I1oV_STSDYn1IFDPWt_1FKiwhDph83XaGc0o0/edit?usp=sharing"",""งบพรบ!FG22"")"),0)</f>
        <v>0</v>
      </c>
      <c r="M394" s="93">
        <f ca="1">IFERROR(__xludf.DUMMYFUNCTION("IMPORTRANGE(""https://docs.google.com/spreadsheets/d/1MeEWN-I1oV_STSDYn1IFDPWt_1FKiwhDph83XaGc0o0/edit?usp=sharing"",""งบพรบ!FL22"")"),0)</f>
        <v>0</v>
      </c>
      <c r="N394" s="93">
        <f ca="1">IFERROR(__xludf.DUMMYFUNCTION("IMPORTRANGE(""https://docs.google.com/spreadsheets/d/1MeEWN-I1oV_STSDYn1IFDPWt_1FKiwhDph83XaGc0o0/edit?usp=sharing"",""งบพรบ!FN22"")"),0)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IFERROR(__xludf.DUMMYFUNCTION("IMPORTRANGE(""https://docs.google.com/spreadsheets/d/1MeEWN-I1oV_STSDYn1IFDPWt_1FKiwhDph83XaGc0o0/edit?usp=sharing"",""งบพรบ!FJ22"")"),0)</f>
        <v>0</v>
      </c>
      <c r="M397" s="93">
        <f ca="1">IFERROR(__xludf.DUMMYFUNCTION("IMPORTRANGE(""https://docs.google.com/spreadsheets/d/1MeEWN-I1oV_STSDYn1IFDPWt_1FKiwhDph83XaGc0o0/edit?usp=sharing"",""งบพรบ!FM22"")"),0)</f>
        <v>0</v>
      </c>
      <c r="N397" s="93">
        <f ca="1">IFERROR(__xludf.DUMMYFUNCTION("IMPORTRANGE(""https://docs.google.com/spreadsheets/d/1MeEWN-I1oV_STSDYn1IFDPWt_1FKiwhDph83XaGc0o0/edit?usp=sharing"",""งบพรบ!FO22"")"),0)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IFERROR(__xludf.DUMMYFUNCTION("IMPORTRANGE(""https://docs.google.com/spreadsheets/d/1MeEWN-I1oV_STSDYn1IFDPWt_1FKiwhDph83XaGc0o0/edit?usp=sharing"",""งบพรบ!FQ22"")"),0)</f>
        <v>0</v>
      </c>
      <c r="M407" s="93">
        <f ca="1">IFERROR(__xludf.DUMMYFUNCTION("IMPORTRANGE(""https://docs.google.com/spreadsheets/d/1MeEWN-I1oV_STSDYn1IFDPWt_1FKiwhDph83XaGc0o0/edit?usp=sharing"",""งบพรบ!FV22"")"),0)</f>
        <v>0</v>
      </c>
      <c r="N407" s="93">
        <f ca="1">IFERROR(__xludf.DUMMYFUNCTION("IMPORTRANGE(""https://docs.google.com/spreadsheets/d/1MeEWN-I1oV_STSDYn1IFDPWt_1FKiwhDph83XaGc0o0/edit?usp=sharing"",""งบพรบ!FX22"")"),0)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IFERROR(__xludf.DUMMYFUNCTION("IMPORTRANGE(""https://docs.google.com/spreadsheets/d/1MeEWN-I1oV_STSDYn1IFDPWt_1FKiwhDph83XaGc0o0/edit?usp=sharing"",""งบพรบ!FT22"")"),0)</f>
        <v>0</v>
      </c>
      <c r="M410" s="93">
        <f ca="1">IFERROR(__xludf.DUMMYFUNCTION("IMPORTRANGE(""https://docs.google.com/spreadsheets/d/1MeEWN-I1oV_STSDYn1IFDPWt_1FKiwhDph83XaGc0o0/edit?usp=sharing"",""งบพรบ!FW22"")"),0)</f>
        <v>0</v>
      </c>
      <c r="N410" s="93">
        <f ca="1">IFERROR(__xludf.DUMMYFUNCTION("IMPORTRANGE(""https://docs.google.com/spreadsheets/d/1MeEWN-I1oV_STSDYn1IFDPWt_1FKiwhDph83XaGc0o0/edit?usp=sharing"",""งบพรบ!FY22"")"),0)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2179942</v>
      </c>
      <c r="M414" s="517">
        <f t="shared" si="181"/>
        <v>0</v>
      </c>
      <c r="N414" s="517">
        <f t="shared" si="181"/>
        <v>360228.69</v>
      </c>
      <c r="O414" s="517">
        <f ca="1">IF(L414&gt;0,N414*100/L414,0)</f>
        <v>16.524691482617428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0</v>
      </c>
      <c r="O422" s="466">
        <f t="shared" ca="1" si="185"/>
        <v>0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IFERROR(__xludf.DUMMYFUNCTION("IMPORTRANGE(""https://docs.google.com/spreadsheets/d/1QqKyyYR6Q21VydFLVH3TRQUabQu_ym0Zz7PgGX0-kHA/edit?usp=sharing"",""แผน!EY22"")"),78660)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1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IFERROR(__xludf.DUMMYFUNCTION("IMPORTRANGE(""https://docs.google.com/spreadsheets/d/1QqKyyYR6Q21VydFLVH3TRQUabQu_ym0Zz7PgGX0-kHA/edit?usp=sharing"",""แผน!FC22"")"),20)</f>
        <v>20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IFERROR(__xludf.DUMMYFUNCTION("IMPORTRANGE(""https://docs.google.com/spreadsheets/d/1QqKyyYR6Q21VydFLVH3TRQUabQu_ym0Zz7PgGX0-kHA/edit?usp=sharing"",""แผน!FD22"")"),0)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IFERROR(__xludf.DUMMYFUNCTION("IMPORTRANGE(""https://docs.google.com/spreadsheets/d/1QqKyyYR6Q21VydFLVH3TRQUabQu_ym0Zz7PgGX0-kHA/edit?usp=sharing"",""แผน!FE22"")"),0)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IFERROR(__xludf.DUMMYFUNCTION("IMPORTRANGE(""https://docs.google.com/spreadsheets/d/1QqKyyYR6Q21VydFLVH3TRQUabQu_ym0Zz7PgGX0-kHA/edit?usp=sharing"",""แผน!FF22"")"),20)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IFERROR(__xludf.DUMMYFUNCTION("IMPORTRANGE(""https://docs.google.com/spreadsheets/d/1QqKyyYR6Q21VydFLVH3TRQUabQu_ym0Zz7PgGX0-kHA/edit?usp=sharing"",""แผน!FG22"")"),1)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IFERROR(__xludf.DUMMYFUNCTION("IMPORTRANGE(""https://docs.google.com/spreadsheets/d/1QqKyyYR6Q21VydFLVH3TRQUabQu_ym0Zz7PgGX0-kHA/edit?usp=sharing"",""แผน!FH22"")"),0)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 hidden="1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 hidden="1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 hidden="1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 hidden="1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 hidden="1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 hidden="1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 hidden="1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 hidden="1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 hidden="1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 hidden="1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IFERROR(__xludf.DUMMYFUNCTION("IMPORTRANGE(""https://docs.google.com/spreadsheets/d/1QqKyyYR6Q21VydFLVH3TRQUabQu_ym0Zz7PgGX0-kHA/edit?usp=sharing"",""แผน!FN22"")"),0)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 hidden="1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 hidden="1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IFERROR(__xludf.DUMMYFUNCTION("IMPORTRANGE(""https://docs.google.com/spreadsheets/d/1QqKyyYR6Q21VydFLVH3TRQUabQu_ym0Zz7PgGX0-kHA/edit?usp=sharing"",""แผน!FO22"")"),0)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 hidden="1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IFERROR(__xludf.DUMMYFUNCTION("IMPORTRANGE(""https://docs.google.com/spreadsheets/d/1QqKyyYR6Q21VydFLVH3TRQUabQu_ym0Zz7PgGX0-kHA/edit?usp=sharing"",""แผน!FO22"")"),0)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 hidden="1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IFERROR(__xludf.DUMMYFUNCTION("IMPORTRANGE(""https://docs.google.com/spreadsheets/d/1QqKyyYR6Q21VydFLVH3TRQUabQu_ym0Zz7PgGX0-kHA/edit?usp=sharing"",""แผน!FN22"")"),0)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IFERROR(__xludf.DUMMYFUNCTION("IMPORTRANGE(""https://docs.google.com/spreadsheets/d/1QqKyyYR6Q21VydFLVH3TRQUabQu_ym0Zz7PgGX0-kHA/edit?usp=sharing"",""แผน!FX22"")"),131)</f>
        <v>131</v>
      </c>
      <c r="J465" s="555">
        <f>J485+J489+J492</f>
        <v>117</v>
      </c>
      <c r="K465" s="556">
        <f t="shared" ref="K465:K466" ca="1" si="205">IF(I465&gt;0,J465*100/I465,0)</f>
        <v>89.312977099236647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IFERROR(__xludf.DUMMYFUNCTION("IMPORTRANGE(""https://docs.google.com/spreadsheets/d/1QqKyyYR6Q21VydFLVH3TRQUabQu_ym0Zz7PgGX0-kHA/edit?usp=sharing"",""แผน!FW22"")"),1300)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1168098</v>
      </c>
      <c r="M467" s="195">
        <f t="shared" si="206"/>
        <v>0</v>
      </c>
      <c r="N467" s="195">
        <f t="shared" si="206"/>
        <v>148460.01999999999</v>
      </c>
      <c r="O467" s="195">
        <f t="shared" ref="O467:O472" ca="1" si="207">IF(L467&gt;0,N467*100/L467,0)</f>
        <v>12.709551767060638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1168098</v>
      </c>
      <c r="M469" s="93">
        <f t="shared" si="209"/>
        <v>0</v>
      </c>
      <c r="N469" s="93">
        <f t="shared" si="209"/>
        <v>148460.01999999999</v>
      </c>
      <c r="O469" s="93">
        <f t="shared" ca="1" si="207"/>
        <v>12.709551767060638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1168098</v>
      </c>
      <c r="M470" s="466">
        <f t="shared" si="210"/>
        <v>0</v>
      </c>
      <c r="N470" s="466">
        <f t="shared" si="210"/>
        <v>148460.01999999999</v>
      </c>
      <c r="O470" s="466">
        <f t="shared" ca="1" si="207"/>
        <v>12.709551767060638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IFERROR(__xludf.DUMMYFUNCTION("IMPORTRANGE(""https://docs.google.com/spreadsheets/d/1QqKyyYR6Q21VydFLVH3TRQUabQu_ym0Zz7PgGX0-kHA/edit?usp=sharing"",""แผน!FS22"")"),1168098)</f>
        <v>1168098</v>
      </c>
      <c r="M472" s="93">
        <v>0</v>
      </c>
      <c r="N472" s="93">
        <f>N473+N474+N475+N476</f>
        <v>148460.01999999999</v>
      </c>
      <c r="O472" s="93">
        <f t="shared" ca="1" si="207"/>
        <v>12.709551767060638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104420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36400.019999999997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7640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IFERROR(__xludf.DUMMYFUNCTION("IMPORTRANGE(""https://docs.google.com/spreadsheets/d/1QqKyyYR6Q21VydFLVH3TRQUabQu_ym0Zz7PgGX0-kHA/edit?usp=sharing"",""แผน!FY22"")"),1170)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IFERROR(__xludf.DUMMYFUNCTION("IMPORTRANGE(""https://docs.google.com/spreadsheets/d/1QqKyyYR6Q21VydFLVH3TRQUabQu_ym0Zz7PgGX0-kHA/edit?usp=sharing"",""แผน!FZ22"")"),117)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IFERROR(__xludf.DUMMYFUNCTION("IMPORTRANGE(""https://docs.google.com/spreadsheets/d/1QqKyyYR6Q21VydFLVH3TRQUabQu_ym0Zz7PgGX0-kHA/edit?usp=sharing"",""แผน!GA22"")"),130)</f>
        <v>130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IFERROR(__xludf.DUMMYFUNCTION("IMPORTRANGE(""https://docs.google.com/spreadsheets/d/1QqKyyYR6Q21VydFLVH3TRQUabQu_ym0Zz7PgGX0-kHA/edit?usp=sharing"",""แผน!GB22"")"),13)</f>
        <v>13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IFERROR(__xludf.DUMMYFUNCTION("IMPORTRANGE(""https://docs.google.com/spreadsheets/d/1QqKyyYR6Q21VydFLVH3TRQUabQu_ym0Zz7PgGX0-kHA/edit?usp=sharing"",""แผน!GC22"")"),1)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IFERROR(__xludf.DUMMYFUNCTION("IMPORTRANGE(""https://docs.google.com/spreadsheets/d/1QqKyyYR6Q21VydFLVH3TRQUabQu_ym0Zz7PgGX0-kHA/edit?usp=sharing"",""แผน!FY22"")"),1170)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IFERROR(__xludf.DUMMYFUNCTION("IMPORTRANGE(""https://docs.google.com/spreadsheets/d/1QqKyyYR6Q21VydFLVH3TRQUabQu_ym0Zz7PgGX0-kHA/edit?usp=sharing"",""แผน!GA22"")"),130)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IFERROR(__xludf.DUMMYFUNCTION("IMPORTRANGE(""https://docs.google.com/spreadsheets/d/1QqKyyYR6Q21VydFLVH3TRQUabQu_ym0Zz7PgGX0-kHA/edit?usp=sharing"",""แผน!GU22"")"),0)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IFERROR(__xludf.DUMMYFUNCTION("IMPORTRANGE(""https://docs.google.com/spreadsheets/d/1QqKyyYR6Q21VydFLVH3TRQUabQu_ym0Zz7PgGX0-kHA/edit?usp=sharing"",""แผน!GV22"")"),0)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IFERROR(__xludf.DUMMYFUNCTION("IMPORTRANGE(""https://docs.google.com/spreadsheets/d/1QqKyyYR6Q21VydFLVH3TRQUabQu_ym0Zz7PgGX0-kHA/edit?usp=sharing"",""แผน!GW22"")"),0)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IFERROR(__xludf.DUMMYFUNCTION("IMPORTRANGE(""https://docs.google.com/spreadsheets/d/1QqKyyYR6Q21VydFLVH3TRQUabQu_ym0Zz7PgGX0-kHA/edit?usp=sharing"",""แผน!GX22"")"),0)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IFERROR(__xludf.DUMMYFUNCTION("IMPORTRANGE(""https://docs.google.com/spreadsheets/d/1QqKyyYR6Q21VydFLVH3TRQUabQu_ym0Zz7PgGX0-kHA/edit?usp=sharing"",""แผน!GY22"")"),0)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IFERROR(__xludf.DUMMYFUNCTION("IMPORTRANGE(""https://docs.google.com/spreadsheets/d/1QqKyyYR6Q21VydFLVH3TRQUabQu_ym0Zz7PgGX0-kHA/edit?usp=sharing"",""แผน!GZ22"")"),0)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37505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302229</v>
      </c>
      <c r="M544" s="155">
        <f t="shared" si="236"/>
        <v>0</v>
      </c>
      <c r="N544" s="155">
        <f t="shared" si="236"/>
        <v>89662</v>
      </c>
      <c r="O544" s="155">
        <f t="shared" ref="O544:O549" ca="1" si="237">IF(L544&gt;0,N544*100/L544,0)</f>
        <v>29.666908205367452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302229</v>
      </c>
      <c r="M546" s="93">
        <f t="shared" si="240"/>
        <v>0</v>
      </c>
      <c r="N546" s="93">
        <f t="shared" si="240"/>
        <v>89662</v>
      </c>
      <c r="O546" s="93">
        <f t="shared" ca="1" si="237"/>
        <v>29.666908205367452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302229</v>
      </c>
      <c r="M547" s="466">
        <f t="shared" si="241"/>
        <v>0</v>
      </c>
      <c r="N547" s="466">
        <f t="shared" si="241"/>
        <v>89662</v>
      </c>
      <c r="O547" s="466">
        <f t="shared" ca="1" si="237"/>
        <v>29.666908205367452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IFERROR(__xludf.DUMMYFUNCTION("IMPORTRANGE(""https://docs.google.com/spreadsheets/d/1QqKyyYR6Q21VydFLVH3TRQUabQu_ym0Zz7PgGX0-kHA/edit?usp=sharing"",""แผน!HB22"")"),302229)</f>
        <v>302229</v>
      </c>
      <c r="M549" s="93">
        <v>0</v>
      </c>
      <c r="N549" s="93">
        <f>N550+N551+N552+N553+N554</f>
        <v>89662</v>
      </c>
      <c r="O549" s="93">
        <f t="shared" ca="1" si="237"/>
        <v>29.666908205367452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39000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50662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37505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IFERROR(__xludf.DUMMYFUNCTION("IMPORTRANGE(""https://docs.google.com/spreadsheets/d/1QqKyyYR6Q21VydFLVH3TRQUabQu_ym0Zz7PgGX0-kHA/edit?usp=sharing"",""แผน!HH22"")"),37505)</f>
        <v>37505</v>
      </c>
      <c r="J560" s="193">
        <f t="shared" ref="J560:J561" si="247">J562+J564+J566</f>
        <v>34.200000000000003</v>
      </c>
      <c r="K560" s="380">
        <f t="shared" ca="1" si="246"/>
        <v>9.1187841621117191E-2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IFERROR(__xludf.DUMMYFUNCTION("IMPORTRANGE(""https://docs.google.com/spreadsheets/d/1QqKyyYR6Q21VydFLVH3TRQUabQu_ym0Zz7PgGX0-kHA/edit?usp=sharing"",""แผน!HG22"")"),4678)</f>
        <v>4678</v>
      </c>
      <c r="J561" s="193">
        <f t="shared" si="247"/>
        <v>2</v>
      </c>
      <c r="K561" s="380">
        <f t="shared" ca="1" si="246"/>
        <v>4.2753313381787089E-2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34.200000000000003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2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IFERROR(__xludf.DUMMYFUNCTION("IMPORTRANGE(""https://docs.google.com/spreadsheets/d/1QqKyyYR6Q21VydFLVH3TRQUabQu_ym0Zz7PgGX0-kHA/edit?usp=sharing"",""แผน!HH22"")"),37505)</f>
        <v>37505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IFERROR(__xludf.DUMMYFUNCTION("IMPORTRANGE(""https://docs.google.com/spreadsheets/d/1QqKyyYR6Q21VydFLVH3TRQUabQu_ym0Zz7PgGX0-kHA/edit?usp=sharing"",""แผน!HG22"")"),4678)</f>
        <v>4678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IFERROR(__xludf.DUMMYFUNCTION("IMPORTRANGE(""https://docs.google.com/spreadsheets/d/1QqKyyYR6Q21VydFLVH3TRQUabQu_ym0Zz7PgGX0-kHA/edit?usp=sharing"",""แผน!HH22"")"),37505)</f>
        <v>37505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IFERROR(__xludf.DUMMYFUNCTION("IMPORTRANGE(""https://docs.google.com/spreadsheets/d/1QqKyyYR6Q21VydFLVH3TRQUabQu_ym0Zz7PgGX0-kHA/edit?usp=sharing"",""แผน!HG22"")"),4678)</f>
        <v>4678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 hidden="1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0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 hidden="1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IFERROR(__xludf.DUMMYFUNCTION("IMPORTRANGE(""https://docs.google.com/spreadsheets/d/1QqKyyYR6Q21VydFLVH3TRQUabQu_ym0Zz7PgGX0-kHA/edit?usp=sharing"",""แผน!HJ22"")"),0)</f>
        <v>0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 hidden="1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IFERROR(__xludf.DUMMYFUNCTION("IMPORTRANGE(""https://docs.google.com/spreadsheets/d/1QqKyyYR6Q21VydFLVH3TRQUabQu_ym0Zz7PgGX0-kHA/edit?usp=sharing"",""แผน!HI22"")"),0)</f>
        <v>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 hidden="1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 hidden="1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 hidden="1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 hidden="1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 hidden="1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 hidden="1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 hidden="1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 hidden="1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 hidden="1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 hidden="1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 hidden="1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 hidden="1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 hidden="1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 hidden="1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 hidden="1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 hidden="1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IFERROR(__xludf.DUMMYFUNCTION("IMPORTRANGE(""https://docs.google.com/spreadsheets/d/1QqKyyYR6Q21VydFLVH3TRQUabQu_ym0Zz7PgGX0-kHA/edit?usp=sharing"",""แผน!HL22"")"),6)</f>
        <v>6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IFERROR(__xludf.DUMMYFUNCTION("IMPORTRANGE(""https://docs.google.com/spreadsheets/d/1QqKyyYR6Q21VydFLVH3TRQUabQu_ym0Zz7PgGX0-kHA/edit?usp=sharing"",""แผน!HK22"")"),2)</f>
        <v>2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100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354995</v>
      </c>
      <c r="M629" s="195">
        <f t="shared" si="263"/>
        <v>0</v>
      </c>
      <c r="N629" s="195">
        <f t="shared" si="263"/>
        <v>70616.67</v>
      </c>
      <c r="O629" s="195">
        <f t="shared" ref="O629:O634" ca="1" si="264">IF(L629&gt;0,N629*100/L629,0)</f>
        <v>19.892299891547768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354995</v>
      </c>
      <c r="M631" s="93">
        <f t="shared" si="266"/>
        <v>0</v>
      </c>
      <c r="N631" s="93">
        <f t="shared" si="266"/>
        <v>70616.67</v>
      </c>
      <c r="O631" s="93">
        <f t="shared" ca="1" si="264"/>
        <v>19.892299891547768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354995</v>
      </c>
      <c r="M632" s="466">
        <f t="shared" si="267"/>
        <v>0</v>
      </c>
      <c r="N632" s="466">
        <f t="shared" si="267"/>
        <v>70616.67</v>
      </c>
      <c r="O632" s="466">
        <f t="shared" ca="1" si="264"/>
        <v>19.892299891547768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IFERROR(__xludf.DUMMYFUNCTION("IMPORTRANGE(""https://docs.google.com/spreadsheets/d/1QqKyyYR6Q21VydFLVH3TRQUabQu_ym0Zz7PgGX0-kHA/edit?usp=sharing"",""แผน!HN22"")"),354995)</f>
        <v>354995</v>
      </c>
      <c r="M634" s="93">
        <v>0</v>
      </c>
      <c r="N634" s="93">
        <f>N635+N636+N637+N638</f>
        <v>70616.67</v>
      </c>
      <c r="O634" s="93">
        <f t="shared" ca="1" si="264"/>
        <v>19.892299891547768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38566.67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32050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IFERROR(__xludf.DUMMYFUNCTION("IMPORTRANGE(""https://docs.google.com/spreadsheets/d/1QqKyyYR6Q21VydFLVH3TRQUabQu_ym0Zz7PgGX0-kHA/edit?usp=sharing"",""แผน!HR22"")"),0)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IFERROR(__xludf.DUMMYFUNCTION("IMPORTRANGE(""https://docs.google.com/spreadsheets/d/1XWAQStnk-4SwqDmLtmXYiTMKHgktTP8We1SCoS47DrQ/edit?usp=sharing"",""จัดที่ดิน!AS22"")"),0)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IFERROR(__xludf.DUMMYFUNCTION("IMPORTRANGE(""https://docs.google.com/spreadsheets/d/1XWAQStnk-4SwqDmLtmXYiTMKHgktTP8We1SCoS47DrQ/edit?usp=sharing"",""จัดที่ดิน!AT22"")"),0)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IFERROR(__xludf.DUMMYFUNCTION("IMPORTRANGE(""https://docs.google.com/spreadsheets/d/1QqKyyYR6Q21VydFLVH3TRQUabQu_ym0Zz7PgGX0-kHA/edit?usp=sharing"",""แผน!HS22"")"),100)</f>
        <v>100</v>
      </c>
      <c r="J647" s="270">
        <f ca="1">IFERROR(__xludf.DUMMYFUNCTION("IMPORTRANGE(""https://docs.google.com/spreadsheets/d/1XWAQStnk-4SwqDmLtmXYiTMKHgktTP8We1SCoS47DrQ/edit?usp=sharing"",""จัดที่ดิน!AU22"")"),0)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IFERROR(__xludf.DUMMYFUNCTION("IMPORTRANGE(""https://docs.google.com/spreadsheets/d/1XWAQStnk-4SwqDmLtmXYiTMKHgktTP8We1SCoS47DrQ/edit?usp=sharing"",""จัดที่ดิน!AV22"")"),0)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IFERROR(__xludf.DUMMYFUNCTION("IMPORTRANGE(""https://docs.google.com/spreadsheets/d/1QqKyyYR6Q21VydFLVH3TRQUabQu_ym0Zz7PgGX0-kHA/edit?usp=sharing"",""แผน!HS22"")"),100)</f>
        <v>100</v>
      </c>
      <c r="J649" s="270">
        <f ca="1">IFERROR(__xludf.DUMMYFUNCTION("IMPORTRANGE(""https://docs.google.com/spreadsheets/d/1XWAQStnk-4SwqDmLtmXYiTMKHgktTP8We1SCoS47DrQ/edit?usp=sharing"",""จัดที่ดิน!AW22"")"),0)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IFERROR(__xludf.DUMMYFUNCTION("IMPORTRANGE(""https://docs.google.com/spreadsheets/d/1XWAQStnk-4SwqDmLtmXYiTMKHgktTP8We1SCoS47DrQ/edit?usp=sharing"",""จัดที่ดิน!AX22"")"),0)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IFERROR(__xludf.DUMMYFUNCTION("IMPORTRANGE(""https://docs.google.com/spreadsheets/d/1QqKyyYR6Q21VydFLVH3TRQUabQu_ym0Zz7PgGX0-kHA/edit?usp=sharing"",""แผน!HS22"")"),100)</f>
        <v>100</v>
      </c>
      <c r="J651" s="270">
        <f ca="1">IFERROR(__xludf.DUMMYFUNCTION("IMPORTRANGE(""https://docs.google.com/spreadsheets/d/1XWAQStnk-4SwqDmLtmXYiTMKHgktTP8We1SCoS47DrQ/edit?usp=sharing"",""จัดที่ดิน!AY22"")"),0)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IFERROR(__xludf.DUMMYFUNCTION("IMPORTRANGE(""https://docs.google.com/spreadsheets/d/1XWAQStnk-4SwqDmLtmXYiTMKHgktTP8We1SCoS47DrQ/edit?usp=sharing"",""จัดที่ดิน!AZ22"")"),0)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50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IFERROR(__xludf.DUMMYFUNCTION("IMPORTRANGE(""https://docs.google.com/spreadsheets/d/1QqKyyYR6Q21VydFLVH3TRQUabQu_ym0Zz7PgGX0-kHA/edit?usp=sharing"",""แผน!HV22"")"),9400)</f>
        <v>9400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IFERROR(__xludf.DUMMYFUNCTION("IMPORTRANGE(""https://docs.google.com/spreadsheets/d/1QqKyyYR6Q21VydFLVH3TRQUabQu_ym0Zz7PgGX0-kHA/edit?usp=sharing"",""แผน!IA22"")"),50)</f>
        <v>50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IFERROR(__xludf.DUMMYFUNCTION("IMPORTRANGE(""https://docs.google.com/spreadsheets/d/1QqKyyYR6Q21VydFLVH3TRQUabQu_ym0Zz7PgGX0-kHA/edit?usp=sharing"",""แผน!HZ22"")"),4)</f>
        <v>4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IFERROR(__xludf.DUMMYFUNCTION("IMPORTRANGE(""https://docs.google.com/spreadsheets/d/1QqKyyYR6Q21VydFLVH3TRQUabQu_ym0Zz7PgGX0-kHA/edit?usp=sharing"",""แผน!HZ22"")"),4)</f>
        <v>4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IFERROR(__xludf.DUMMYFUNCTION("IMPORTRANGE(""https://docs.google.com/spreadsheets/d/1QqKyyYR6Q21VydFLVH3TRQUabQu_ym0Zz7PgGX0-kHA/edit?usp=sharing"",""แผน!IB22"")"),0)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IFERROR(__xludf.DUMMYFUNCTION("IMPORTRANGE(""https://docs.google.com/spreadsheets/d/1QqKyyYR6Q21VydFLVH3TRQUabQu_ym0Zz7PgGX0-kHA/edit?usp=sharing"",""แผน!IC22"")"),0)</f>
        <v>0</v>
      </c>
      <c r="J699" s="270">
        <f ca="1">IFERROR(__xludf.DUMMYFUNCTION("IMPORTRANGE(""https://docs.google.com/spreadsheets/d/1XWAQStnk-4SwqDmLtmXYiTMKHgktTP8We1SCoS47DrQ/edit?usp=sharing"",""จัดที่ดิน!BB22"")"),0)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IFERROR(__xludf.DUMMYFUNCTION("IMPORTRANGE(""https://docs.google.com/spreadsheets/d/1QqKyyYR6Q21VydFLVH3TRQUabQu_ym0Zz7PgGX0-kHA/edit?usp=sharing"",""แผน!ID22"")"),0)</f>
        <v>0</v>
      </c>
      <c r="J700" s="270">
        <f ca="1">IFERROR(__xludf.DUMMYFUNCTION("IMPORTRANGE(""https://docs.google.com/spreadsheets/d/1XWAQStnk-4SwqDmLtmXYiTMKHgktTP8We1SCoS47DrQ/edit?usp=sharing"",""จัดที่ดิน!BD22"")"),0)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IFERROR(__xludf.DUMMYFUNCTION("IMPORTRANGE(""https://docs.google.com/spreadsheets/d/1QqKyyYR6Q21VydFLVH3TRQUabQu_ym0Zz7PgGX0-kHA/edit?usp=sharing"",""แผน!IE22"")"),0)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IFERROR(__xludf.DUMMYFUNCTION("IMPORTRANGE(""https://docs.google.com/spreadsheets/d/1QqKyyYR6Q21VydFLVH3TRQUabQu_ym0Zz7PgGX0-kHA/edit?usp=sharing"",""แผน!IF22"")"),0)</f>
        <v>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IFERROR(__xludf.DUMMYFUNCTION("IMPORTRANGE(""https://docs.google.com/spreadsheets/d/1QqKyyYR6Q21VydFLVH3TRQUabQu_ym0Zz7PgGX0-kHA/edit?usp=sharing"",""แผน!IG22"")"),0)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IFERROR(__xludf.DUMMYFUNCTION("IMPORTRANGE(""https://docs.google.com/spreadsheets/d/1QqKyyYR6Q21VydFLVH3TRQUabQu_ym0Zz7PgGX0-kHA/edit?usp=sharing"",""แผน!IH22"")"),0)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IFERROR(__xludf.DUMMYFUNCTION("IMPORTRANGE(""https://docs.google.com/spreadsheets/d/1XWAQStnk-4SwqDmLtmXYiTMKHgktTP8We1SCoS47DrQ/edit?usp=sharing"",""จัดที่ดิน!BF22"")"),0)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IFERROR(__xludf.DUMMYFUNCTION("IMPORTRANGE(""https://docs.google.com/spreadsheets/d/1XWAQStnk-4SwqDmLtmXYiTMKHgktTP8We1SCoS47DrQ/edit?usp=sharing"",""จัดที่ดิน!BG22"")"),0)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IFERROR(__xludf.DUMMYFUNCTION("IMPORTRANGE(""https://docs.google.com/spreadsheets/d/1QqKyyYR6Q21VydFLVH3TRQUabQu_ym0Zz7PgGX0-kHA/edit?usp=sharing"",""แผน!II22"")"),0)</f>
        <v>0</v>
      </c>
      <c r="J720" s="270">
        <f ca="1">IFERROR(__xludf.DUMMYFUNCTION("IMPORTRANGE(""https://docs.google.com/spreadsheets/d/1XWAQStnk-4SwqDmLtmXYiTMKHgktTP8We1SCoS47DrQ/edit?usp=sharing"",""จัดที่ดิน!BH22"")"),0)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IFERROR(__xludf.DUMMYFUNCTION("IMPORTRANGE(""https://docs.google.com/spreadsheets/d/1QqKyyYR6Q21VydFLVH3TRQUabQu_ym0Zz7PgGX0-kHA/edit?usp=sharing"",""แผน!IJ22"")"),0)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IFERROR(__xludf.DUMMYFUNCTION("IMPORTRANGE(""https://docs.google.com/spreadsheets/d/1QqKyyYR6Q21VydFLVH3TRQUabQu_ym0Zz7PgGX0-kHA/edit?usp=sharing"",""แผน!IK22"")"),0)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IFERROR(__xludf.DUMMYFUNCTION("IMPORTRANGE(""https://docs.google.com/spreadsheets/d/1QqKyyYR6Q21VydFLVH3TRQUabQu_ym0Zz7PgGX0-kHA/edit?usp=sharing"",""แผน!IL22"")"),0)</f>
        <v>0</v>
      </c>
      <c r="J723" s="270">
        <f ca="1">IFERROR(__xludf.DUMMYFUNCTION("IMPORTRANGE(""https://docs.google.com/spreadsheets/d/1XWAQStnk-4SwqDmLtmXYiTMKHgktTP8We1SCoS47DrQ/edit?usp=sharing"",""จัดที่ดิน!BM22"")"),0)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IFERROR(__xludf.DUMMYFUNCTION("IMPORTRANGE(""https://docs.google.com/spreadsheets/d/1XWAQStnk-4SwqDmLtmXYiTMKHgktTP8We1SCoS47DrQ/edit?usp=sharing"",""จัดที่ดิน!BN22"")"),0)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IFERROR(__xludf.DUMMYFUNCTION("IMPORTRANGE(""https://docs.google.com/spreadsheets/d/1QqKyyYR6Q21VydFLVH3TRQUabQu_ym0Zz7PgGX0-kHA/edit?usp=sharing"",""แผน!IM22"")"),0)</f>
        <v>0</v>
      </c>
      <c r="J725" s="270">
        <f ca="1">IFERROR(__xludf.DUMMYFUNCTION("IMPORTRANGE(""https://docs.google.com/spreadsheets/d/1XWAQStnk-4SwqDmLtmXYiTMKHgktTP8We1SCoS47DrQ/edit?usp=sharing"",""จัดที่ดิน!BO22"")"),0)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IFERROR(__xludf.DUMMYFUNCTION("IMPORTRANGE(""https://docs.google.com/spreadsheets/d/1QqKyyYR6Q21VydFLVH3TRQUabQu_ym0Zz7PgGX0-kHA/edit?usp=sharing"",""แผน!IN22"")"),0)</f>
        <v>0</v>
      </c>
      <c r="J726" s="270">
        <f ca="1">IFERROR(__xludf.DUMMYFUNCTION("IMPORTRANGE(""https://docs.google.com/spreadsheets/d/1XWAQStnk-4SwqDmLtmXYiTMKHgktTP8We1SCoS47DrQ/edit?usp=sharing"",""จัดที่ดิน!BR22"")"),0)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IFERROR(__xludf.DUMMYFUNCTION("IMPORTRANGE(""https://docs.google.com/spreadsheets/d/1XWAQStnk-4SwqDmLtmXYiTMKHgktTP8We1SCoS47DrQ/edit?usp=sharing"",""จัดที่ดิน!BS22"")"),0)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IFERROR(__xludf.DUMMYFUNCTION("IMPORTRANGE(""https://docs.google.com/spreadsheets/d/1QqKyyYR6Q21VydFLVH3TRQUabQu_ym0Zz7PgGX0-kHA/edit?usp=sharing"",""แผน!IO22"")"),0)</f>
        <v>0</v>
      </c>
      <c r="J728" s="270">
        <f ca="1">IFERROR(__xludf.DUMMYFUNCTION("IMPORTRANGE(""https://docs.google.com/spreadsheets/d/1XWAQStnk-4SwqDmLtmXYiTMKHgktTP8We1SCoS47DrQ/edit?usp=sharing"",""จัดที่ดิน!BT22"")"),0)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IFERROR(__xludf.DUMMYFUNCTION("IMPORTRANGE(""https://docs.google.com/spreadsheets/d/1QqKyyYR6Q21VydFLVH3TRQUabQu_ym0Zz7PgGX0-kHA/edit?usp=sharing"",""แผน!IP22"")"),0)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892" t="s">
        <v>46</v>
      </c>
      <c r="I785" s="893">
        <f t="shared" ref="I785:J785" ca="1" si="318">I801+I803</f>
        <v>4000</v>
      </c>
      <c r="J785" s="893">
        <f t="shared" ca="1" si="318"/>
        <v>0</v>
      </c>
      <c r="K785" s="894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895" t="s">
        <v>12</v>
      </c>
      <c r="I786" s="896"/>
      <c r="J786" s="896"/>
      <c r="K786" s="897"/>
      <c r="L786" s="195">
        <f t="shared" ref="L786:N786" ca="1" si="319">L787+L788</f>
        <v>266560</v>
      </c>
      <c r="M786" s="195">
        <f t="shared" si="319"/>
        <v>0</v>
      </c>
      <c r="N786" s="195">
        <f t="shared" si="319"/>
        <v>51490</v>
      </c>
      <c r="O786" s="195">
        <f t="shared" ref="O786:O791" ca="1" si="320">IF(L786&gt;0,N786*100/L786,0)</f>
        <v>19.316476590636256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898" t="s">
        <v>12</v>
      </c>
      <c r="I787" s="896"/>
      <c r="J787" s="896"/>
      <c r="K787" s="89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898" t="s">
        <v>12</v>
      </c>
      <c r="I788" s="896"/>
      <c r="J788" s="896"/>
      <c r="K788" s="897"/>
      <c r="L788" s="93">
        <f t="shared" ca="1" si="322"/>
        <v>266560</v>
      </c>
      <c r="M788" s="93">
        <f t="shared" si="322"/>
        <v>0</v>
      </c>
      <c r="N788" s="93">
        <f t="shared" si="322"/>
        <v>51490</v>
      </c>
      <c r="O788" s="93">
        <f t="shared" ca="1" si="320"/>
        <v>19.316476590636256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27"/>
      <c r="F789" s="727"/>
      <c r="G789" s="189"/>
      <c r="H789" s="899" t="s">
        <v>12</v>
      </c>
      <c r="I789" s="900"/>
      <c r="J789" s="900"/>
      <c r="K789" s="901"/>
      <c r="L789" s="466">
        <f t="shared" ref="L789:N789" ca="1" si="323">L790+L791</f>
        <v>266560</v>
      </c>
      <c r="M789" s="466">
        <f t="shared" si="323"/>
        <v>0</v>
      </c>
      <c r="N789" s="466">
        <f t="shared" si="323"/>
        <v>51490</v>
      </c>
      <c r="O789" s="466">
        <f t="shared" ca="1" si="320"/>
        <v>19.316476590636256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898" t="s">
        <v>12</v>
      </c>
      <c r="I790" s="896"/>
      <c r="J790" s="896"/>
      <c r="K790" s="89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898" t="s">
        <v>12</v>
      </c>
      <c r="I791" s="896"/>
      <c r="J791" s="896"/>
      <c r="K791" s="897"/>
      <c r="L791" s="93">
        <f ca="1">IFERROR(__xludf.DUMMYFUNCTION("IMPORTRANGE(""https://docs.google.com/spreadsheets/d/1QqKyyYR6Q21VydFLVH3TRQUabQu_ym0Zz7PgGX0-kHA/edit?usp=sharing"",""แผน!JJ22"")"),266560)</f>
        <v>266560</v>
      </c>
      <c r="M791" s="93">
        <v>0</v>
      </c>
      <c r="N791" s="93">
        <f>N792+N793+N794+N795</f>
        <v>51490</v>
      </c>
      <c r="O791" s="93">
        <f t="shared" ca="1" si="320"/>
        <v>19.316476590636256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27"/>
      <c r="D792" s="727"/>
      <c r="E792" s="727"/>
      <c r="F792" s="727" t="s">
        <v>186</v>
      </c>
      <c r="G792" s="189"/>
      <c r="H792" s="899" t="s">
        <v>12</v>
      </c>
      <c r="I792" s="896"/>
      <c r="J792" s="896"/>
      <c r="K792" s="897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27"/>
      <c r="D793" s="727"/>
      <c r="E793" s="727"/>
      <c r="F793" s="727" t="s">
        <v>187</v>
      </c>
      <c r="G793" s="189"/>
      <c r="H793" s="899" t="s">
        <v>12</v>
      </c>
      <c r="I793" s="896"/>
      <c r="J793" s="896"/>
      <c r="K793" s="897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27"/>
      <c r="D794" s="727"/>
      <c r="E794" s="727"/>
      <c r="F794" s="727" t="s">
        <v>188</v>
      </c>
      <c r="G794" s="189"/>
      <c r="H794" s="899" t="s">
        <v>12</v>
      </c>
      <c r="I794" s="896"/>
      <c r="J794" s="896"/>
      <c r="K794" s="897"/>
      <c r="L794" s="466"/>
      <c r="M794" s="466"/>
      <c r="N794" s="798">
        <v>27370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27"/>
      <c r="D795" s="727"/>
      <c r="E795" s="727"/>
      <c r="F795" s="727" t="s">
        <v>189</v>
      </c>
      <c r="G795" s="189"/>
      <c r="H795" s="899" t="s">
        <v>12</v>
      </c>
      <c r="I795" s="896"/>
      <c r="J795" s="896"/>
      <c r="K795" s="897"/>
      <c r="L795" s="466"/>
      <c r="M795" s="466"/>
      <c r="N795" s="798">
        <v>24120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27"/>
      <c r="D796" s="571" t="s">
        <v>21</v>
      </c>
      <c r="E796" s="727"/>
      <c r="F796" s="727"/>
      <c r="G796" s="189"/>
      <c r="H796" s="902" t="s">
        <v>12</v>
      </c>
      <c r="I796" s="900"/>
      <c r="J796" s="900"/>
      <c r="K796" s="901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898" t="s">
        <v>12</v>
      </c>
      <c r="I797" s="900"/>
      <c r="J797" s="900"/>
      <c r="K797" s="90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903" t="s">
        <v>12</v>
      </c>
      <c r="I798" s="900"/>
      <c r="J798" s="900"/>
      <c r="K798" s="90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904"/>
      <c r="I799" s="900"/>
      <c r="J799" s="900"/>
      <c r="K799" s="901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6"/>
      <c r="H800" s="905" t="s">
        <v>34</v>
      </c>
      <c r="I800" s="900"/>
      <c r="J800" s="906">
        <f ca="1">IFERROR(__xludf.DUMMYFUNCTION("IMPORTRANGE(""https://docs.google.com/spreadsheets/d/1MaWodYyGHDf7siQLGxnXhG4mBNTNIuy296niS2xXulU/edit?usp=sharing"",""RTK!H22"")"),0)</f>
        <v>0</v>
      </c>
      <c r="K800" s="897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6"/>
      <c r="H801" s="899" t="s">
        <v>46</v>
      </c>
      <c r="I801" s="906">
        <f ca="1">IFERROR(__xludf.DUMMYFUNCTION("IMPORTRANGE(""https://docs.google.com/spreadsheets/d/1MaWodYyGHDf7siQLGxnXhG4mBNTNIuy296niS2xXulU/edit?usp=sharing"",""RTK!G22"")"),4000)</f>
        <v>4000</v>
      </c>
      <c r="J801" s="907">
        <f ca="1">IFERROR(__xludf.DUMMYFUNCTION("IMPORTRANGE(""https://docs.google.com/spreadsheets/d/1MaWodYyGHDf7siQLGxnXhG4mBNTNIuy296niS2xXulU/edit?usp=sharing"",""RTK!I22"")"),0)</f>
        <v>0</v>
      </c>
      <c r="K801" s="908">
        <f ca="1">IF(I801&gt;0,J801*100/I801,0)</f>
        <v>0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4"/>
      <c r="F802" s="780" t="s">
        <v>321</v>
      </c>
      <c r="G802" s="582"/>
      <c r="H802" s="905" t="s">
        <v>34</v>
      </c>
      <c r="I802" s="900"/>
      <c r="J802" s="906">
        <f ca="1">IFERROR(__xludf.DUMMYFUNCTION("IMPORTRANGE(""https://docs.google.com/spreadsheets/d/1MaWodYyGHDf7siQLGxnXhG4mBNTNIuy296niS2xXulU/edit?usp=sharing"",""RTK!L22"")"),0)</f>
        <v>0</v>
      </c>
      <c r="K802" s="897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4"/>
      <c r="F803" s="684"/>
      <c r="G803" s="582"/>
      <c r="H803" s="905" t="s">
        <v>46</v>
      </c>
      <c r="I803" s="906">
        <f ca="1">IFERROR(__xludf.DUMMYFUNCTION("IMPORTRANGE(""https://docs.google.com/spreadsheets/d/1MaWodYyGHDf7siQLGxnXhG4mBNTNIuy296niS2xXulU/edit?usp=sharing"",""RTK!K22"")"),0)</f>
        <v>0</v>
      </c>
      <c r="J803" s="907">
        <f ca="1">IFERROR(__xludf.DUMMYFUNCTION("IMPORTRANGE(""https://docs.google.com/spreadsheets/d/1MaWodYyGHDf7siQLGxnXhG4mBNTNIuy296niS2xXulU/edit?usp=sharing"",""RTK!M22"")"),0)</f>
        <v>0</v>
      </c>
      <c r="K803" s="90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27"/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8">L806+L807</f>
        <v>0</v>
      </c>
      <c r="M805" s="613">
        <f t="shared" si="328"/>
        <v>0</v>
      </c>
      <c r="N805" s="613">
        <f t="shared" si="328"/>
        <v>0</v>
      </c>
      <c r="O805" s="613">
        <f t="shared" ref="O805:O810" si="329">IF(L805&gt;0,N805*100/L805,0)</f>
        <v>0</v>
      </c>
      <c r="P805" s="613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2">L809+L810</f>
        <v>0</v>
      </c>
      <c r="M808" s="613">
        <f t="shared" si="332"/>
        <v>0</v>
      </c>
      <c r="N808" s="613">
        <f t="shared" si="332"/>
        <v>0</v>
      </c>
      <c r="O808" s="613">
        <f t="shared" si="329"/>
        <v>0</v>
      </c>
      <c r="P808" s="613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3">L816+L817</f>
        <v>0</v>
      </c>
      <c r="M815" s="613">
        <f t="shared" si="333"/>
        <v>0</v>
      </c>
      <c r="N815" s="613">
        <f t="shared" si="333"/>
        <v>0</v>
      </c>
      <c r="O815" s="613">
        <f t="shared" ref="O815:O817" si="334">IF(L815&gt;0,N815*100/L815,0)</f>
        <v>0</v>
      </c>
      <c r="P815" s="613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270">
        <f ca="1">IFERROR(__xludf.DUMMYFUNCTION("IMPORTRANGE(""https://docs.google.com/spreadsheets/d/19vJNZY_5yjcGF2XGBMNZRCAIB0Kwfpjp8YEOfu-bneM/edit?usp=sharing"",""งานกองทุน!F22"")"),309869.95)</f>
        <v>309869.95</v>
      </c>
      <c r="K821" s="466">
        <f t="shared" ref="K821:K828" ca="1" si="336">IF(I821&gt;0,J821*100/I821,0)</f>
        <v>7.7793933600111647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IFERROR(__xludf.DUMMYFUNCTION("IMPORTRANGE(""https://docs.google.com/spreadsheets/d/19vJNZY_5yjcGF2XGBMNZRCAIB0Kwfpjp8YEOfu-bneM/edit?usp=sharing"",""งานกองทุน!C22"")"),308)</f>
        <v>308</v>
      </c>
      <c r="J822" s="270">
        <f ca="1">IFERROR(__xludf.DUMMYFUNCTION("IMPORTRANGE(""https://docs.google.com/spreadsheets/d/19vJNZY_5yjcGF2XGBMNZRCAIB0Kwfpjp8YEOfu-bneM/edit?usp=sharing"",""งานกองทุน!E22"")"),19)</f>
        <v>19</v>
      </c>
      <c r="K822" s="466">
        <f t="shared" ca="1" si="336"/>
        <v>6.1688311688311686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270">
        <f ca="1">IFERROR(__xludf.DUMMYFUNCTION("IMPORTRANGE(""https://docs.google.com/spreadsheets/d/19vJNZY_5yjcGF2XGBMNZRCAIB0Kwfpjp8YEOfu-bneM/edit?usp=sharing"",""งานกองทุน!K22"")"),119750.5)</f>
        <v>119750.5</v>
      </c>
      <c r="K823" s="466">
        <f t="shared" ca="1" si="336"/>
        <v>4.7624538503246585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IFERROR(__xludf.DUMMYFUNCTION("IMPORTRANGE(""https://docs.google.com/spreadsheets/d/19vJNZY_5yjcGF2XGBMNZRCAIB0Kwfpjp8YEOfu-bneM/edit?usp=sharing"",""งานกองทุน!H22"")"),91)</f>
        <v>91</v>
      </c>
      <c r="J824" s="270">
        <f ca="1">IFERROR(__xludf.DUMMYFUNCTION("IMPORTRANGE(""https://docs.google.com/spreadsheets/d/19vJNZY_5yjcGF2XGBMNZRCAIB0Kwfpjp8YEOfu-bneM/edit?usp=sharing"",""งานกองทุน!J22"")"),54)</f>
        <v>54</v>
      </c>
      <c r="K824" s="466">
        <f t="shared" ca="1" si="336"/>
        <v>59.340659340659343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IFERROR(__xludf.DUMMYFUNCTION("IMPORTRANGE(""https://docs.google.com/spreadsheets/d/19vJNZY_5yjcGF2XGBMNZRCAIB0Kwfpjp8YEOfu-bneM/edit?usp=sharing"",""งานกองทุน!N22"")"),0)</f>
        <v>0</v>
      </c>
      <c r="J825" s="270">
        <f ca="1">IFERROR(__xludf.DUMMYFUNCTION("IMPORTRANGE(""https://docs.google.com/spreadsheets/d/19vJNZY_5yjcGF2XGBMNZRCAIB0Kwfpjp8YEOfu-bneM/edit?usp=sharing"",""งานกองทุน!P22"")"),0)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IFERROR(__xludf.DUMMYFUNCTION("IMPORTRANGE(""https://docs.google.com/spreadsheets/d/19vJNZY_5yjcGF2XGBMNZRCAIB0Kwfpjp8YEOfu-bneM/edit?usp=sharing"",""งานกองทุน!M22"")"),0)</f>
        <v>0</v>
      </c>
      <c r="J826" s="270">
        <f ca="1">IFERROR(__xludf.DUMMYFUNCTION("IMPORTRANGE(""https://docs.google.com/spreadsheets/d/19vJNZY_5yjcGF2XGBMNZRCAIB0Kwfpjp8YEOfu-bneM/edit?usp=sharing"",""งานกองทุน!O22"")"),0)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IFERROR(__xludf.DUMMYFUNCTION("IMPORTRANGE(""https://docs.google.com/spreadsheets/d/19vJNZY_5yjcGF2XGBMNZRCAIB0Kwfpjp8YEOfu-bneM/edit?usp=sharing"",""งานกองทุน!S22"")"),4350000)</f>
        <v>4350000</v>
      </c>
      <c r="J827" s="270">
        <f ca="1">IFERROR(__xludf.DUMMYFUNCTION("IMPORTRANGE(""https://docs.google.com/spreadsheets/d/19vJNZY_5yjcGF2XGBMNZRCAIB0Kwfpjp8YEOfu-bneM/edit?usp=sharing"",""งานกองทุน!U22"")"),0)</f>
        <v>0</v>
      </c>
      <c r="K827" s="466">
        <f t="shared" ca="1" si="336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IFERROR(__xludf.DUMMYFUNCTION("IMPORTRANGE(""https://docs.google.com/spreadsheets/d/19vJNZY_5yjcGF2XGBMNZRCAIB0Kwfpjp8YEOfu-bneM/edit?usp=sharing"",""งานกองทุน!R22"")"),174)</f>
        <v>174</v>
      </c>
      <c r="J828" s="469">
        <f ca="1">IFERROR(__xludf.DUMMYFUNCTION("IMPORTRANGE(""https://docs.google.com/spreadsheets/d/19vJNZY_5yjcGF2XGBMNZRCAIB0Kwfpjp8YEOfu-bneM/edit?usp=sharing"",""งานกองทุน!T22"")"),0)</f>
        <v>0</v>
      </c>
      <c r="K828" s="470">
        <f t="shared" ca="1" si="336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344B5-BC35-41A5-95D2-F61EA14BBFE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8.7109375" style="801" bestFit="1" customWidth="1"/>
    <col min="10" max="10" width="16.8554687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345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7686387</v>
      </c>
      <c r="M8" s="22">
        <f t="shared" ca="1" si="0"/>
        <v>2821098</v>
      </c>
      <c r="N8" s="22">
        <f t="shared" ca="1" si="0"/>
        <v>2560098.6800000002</v>
      </c>
      <c r="O8" s="22">
        <f t="shared" ref="O8:O16" ca="1" si="1">IF(L8&gt;0,N8*100/L8,0)</f>
        <v>33.306918842363785</v>
      </c>
      <c r="P8" s="22">
        <f t="shared" ref="P8:P16" ca="1" si="2">IF(M8&gt;0,N8*100/M8,0)</f>
        <v>90.748307219387641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7686387</v>
      </c>
      <c r="M10" s="30">
        <f t="shared" ca="1" si="3"/>
        <v>2821098</v>
      </c>
      <c r="N10" s="30">
        <f t="shared" ca="1" si="3"/>
        <v>2560098.6800000002</v>
      </c>
      <c r="O10" s="30">
        <f t="shared" ca="1" si="1"/>
        <v>33.306918842363785</v>
      </c>
      <c r="P10" s="30">
        <f t="shared" ca="1" si="2"/>
        <v>90.748307219387641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6959487</v>
      </c>
      <c r="M11" s="466">
        <f t="shared" ca="1" si="4"/>
        <v>2097698</v>
      </c>
      <c r="N11" s="466">
        <f t="shared" ca="1" si="4"/>
        <v>1836698.6800000002</v>
      </c>
      <c r="O11" s="466">
        <f t="shared" ca="1" si="1"/>
        <v>26.391294070956672</v>
      </c>
      <c r="P11" s="466">
        <f t="shared" ca="1" si="2"/>
        <v>87.5578219553053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6959487</v>
      </c>
      <c r="M13" s="93">
        <f t="shared" ca="1" si="5"/>
        <v>2097698</v>
      </c>
      <c r="N13" s="93">
        <f t="shared" ca="1" si="5"/>
        <v>1836698.6800000002</v>
      </c>
      <c r="O13" s="93">
        <f t="shared" ca="1" si="1"/>
        <v>26.391294070956672</v>
      </c>
      <c r="P13" s="93">
        <f t="shared" ca="1" si="2"/>
        <v>87.5578219553053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726900</v>
      </c>
      <c r="M14" s="466">
        <f t="shared" ca="1" si="6"/>
        <v>723400</v>
      </c>
      <c r="N14" s="466">
        <f t="shared" ca="1" si="6"/>
        <v>723400</v>
      </c>
      <c r="O14" s="466">
        <f t="shared" ca="1" si="1"/>
        <v>99.518503232906866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726900</v>
      </c>
      <c r="M16" s="52">
        <f t="shared" ca="1" si="7"/>
        <v>723400</v>
      </c>
      <c r="N16" s="52">
        <f t="shared" ca="1" si="7"/>
        <v>723400</v>
      </c>
      <c r="O16" s="52">
        <f t="shared" ca="1" si="1"/>
        <v>99.518503232906866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4835024</v>
      </c>
      <c r="M18" s="22">
        <f t="shared" ca="1" si="8"/>
        <v>2821098</v>
      </c>
      <c r="N18" s="22">
        <f t="shared" ca="1" si="8"/>
        <v>1978246.03</v>
      </c>
      <c r="O18" s="22">
        <f t="shared" ref="O18:O26" ca="1" si="9">IF(L18&gt;0,N18*100/L18,0)</f>
        <v>40.914916451293728</v>
      </c>
      <c r="P18" s="22">
        <f t="shared" ref="P18:P26" ca="1" si="10">IF(M18&gt;0,N18*100/M18,0)</f>
        <v>70.123265125848164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4835024</v>
      </c>
      <c r="M20" s="30">
        <f t="shared" ca="1" si="11"/>
        <v>2821098</v>
      </c>
      <c r="N20" s="30">
        <f t="shared" ca="1" si="11"/>
        <v>1978246.03</v>
      </c>
      <c r="O20" s="30">
        <f t="shared" ca="1" si="9"/>
        <v>40.914916451293728</v>
      </c>
      <c r="P20" s="30">
        <f t="shared" ca="1" si="10"/>
        <v>70.123265125848164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4108124</v>
      </c>
      <c r="M21" s="466">
        <f t="shared" ca="1" si="12"/>
        <v>2097698</v>
      </c>
      <c r="N21" s="466">
        <f t="shared" ca="1" si="12"/>
        <v>1254846.03</v>
      </c>
      <c r="O21" s="466">
        <f t="shared" ca="1" si="9"/>
        <v>30.545475988553413</v>
      </c>
      <c r="P21" s="466">
        <f t="shared" ca="1" si="10"/>
        <v>59.820147132714048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4108124</v>
      </c>
      <c r="M23" s="93">
        <f t="shared" ca="1" si="13"/>
        <v>2097698</v>
      </c>
      <c r="N23" s="93">
        <f t="shared" ca="1" si="13"/>
        <v>1254846.03</v>
      </c>
      <c r="O23" s="93">
        <f t="shared" ca="1" si="9"/>
        <v>30.545475988553413</v>
      </c>
      <c r="P23" s="93">
        <f t="shared" ca="1" si="10"/>
        <v>59.820147132714048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726900</v>
      </c>
      <c r="M24" s="466">
        <f t="shared" ca="1" si="14"/>
        <v>723400</v>
      </c>
      <c r="N24" s="466">
        <f t="shared" ca="1" si="14"/>
        <v>723400</v>
      </c>
      <c r="O24" s="466">
        <f t="shared" ca="1" si="9"/>
        <v>99.518503232906866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726900</v>
      </c>
      <c r="M26" s="52">
        <f t="shared" ca="1" si="15"/>
        <v>723400</v>
      </c>
      <c r="N26" s="52">
        <f t="shared" ca="1" si="15"/>
        <v>723400</v>
      </c>
      <c r="O26" s="52">
        <f t="shared" ca="1" si="9"/>
        <v>99.518503232906866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2851363</v>
      </c>
      <c r="M28" s="22">
        <f t="shared" si="16"/>
        <v>0</v>
      </c>
      <c r="N28" s="22">
        <f t="shared" si="16"/>
        <v>581852.65</v>
      </c>
      <c r="O28" s="22">
        <f t="shared" ref="O28:O37" ca="1" si="17">IF(L28&gt;0,N28*100/L28,0)</f>
        <v>20.406123317164457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2851363</v>
      </c>
      <c r="M30" s="30">
        <f t="shared" si="19"/>
        <v>0</v>
      </c>
      <c r="N30" s="30">
        <f t="shared" si="19"/>
        <v>581852.65</v>
      </c>
      <c r="O30" s="30">
        <f t="shared" ca="1" si="17"/>
        <v>20.406123317164457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2851363</v>
      </c>
      <c r="M31" s="466">
        <f t="shared" si="20"/>
        <v>0</v>
      </c>
      <c r="N31" s="466">
        <f t="shared" si="20"/>
        <v>581852.65</v>
      </c>
      <c r="O31" s="466">
        <f t="shared" ca="1" si="17"/>
        <v>20.406123317164457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2851363</v>
      </c>
      <c r="M33" s="93">
        <f t="shared" si="21"/>
        <v>0</v>
      </c>
      <c r="N33" s="93">
        <f t="shared" si="21"/>
        <v>581852.65</v>
      </c>
      <c r="O33" s="93">
        <f t="shared" ca="1" si="17"/>
        <v>20.406123317164457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4835024</v>
      </c>
      <c r="M37" s="832">
        <f t="shared" ca="1" si="24"/>
        <v>2821098</v>
      </c>
      <c r="N37" s="832">
        <f t="shared" ca="1" si="24"/>
        <v>1978246.03</v>
      </c>
      <c r="O37" s="832">
        <f t="shared" ca="1" si="17"/>
        <v>40.914916451293728</v>
      </c>
      <c r="P37" s="832">
        <f t="shared" ca="1" si="18"/>
        <v>70.123265125848164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508544</v>
      </c>
      <c r="M41" s="85">
        <f t="shared" ca="1" si="25"/>
        <v>268913</v>
      </c>
      <c r="N41" s="85">
        <f t="shared" ca="1" si="25"/>
        <v>203789</v>
      </c>
      <c r="O41" s="85">
        <f t="shared" ref="O41:O49" ca="1" si="26">IF(L41&gt;0,N41*100/L41,0)</f>
        <v>40.073032028693682</v>
      </c>
      <c r="P41" s="85">
        <f t="shared" ref="P41:P49" ca="1" si="27">IF(M41&gt;0,N41*100/M41,0)</f>
        <v>75.7825021475347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508544</v>
      </c>
      <c r="M43" s="92">
        <f t="shared" ca="1" si="28"/>
        <v>268913</v>
      </c>
      <c r="N43" s="92">
        <f t="shared" ca="1" si="28"/>
        <v>203789</v>
      </c>
      <c r="O43" s="92">
        <f t="shared" ca="1" si="26"/>
        <v>40.073032028693682</v>
      </c>
      <c r="P43" s="92">
        <f t="shared" ca="1" si="27"/>
        <v>75.7825021475347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508544</v>
      </c>
      <c r="M44" s="466">
        <f t="shared" ca="1" si="29"/>
        <v>268913</v>
      </c>
      <c r="N44" s="466">
        <f t="shared" ca="1" si="29"/>
        <v>203789</v>
      </c>
      <c r="O44" s="466">
        <f t="shared" ca="1" si="26"/>
        <v>40.073032028693682</v>
      </c>
      <c r="P44" s="466">
        <f t="shared" ca="1" si="27"/>
        <v>75.7825021475347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IFERROR(__xludf.DUMMYFUNCTION("IMPORTRANGE(""https://docs.google.com/spreadsheets/d/1MeEWN-I1oV_STSDYn1IFDPWt_1FKiwhDph83XaGc0o0/edit?usp=sharing"",""งบพรบ!M23"")"),508544)</f>
        <v>508544</v>
      </c>
      <c r="M46" s="93">
        <f ca="1">IFERROR(__xludf.DUMMYFUNCTION("IMPORTRANGE(""https://docs.google.com/spreadsheets/d/1MeEWN-I1oV_STSDYn1IFDPWt_1FKiwhDph83XaGc0o0/edit?usp=sharing"",""งบพรบ!R23"")"),268913)</f>
        <v>268913</v>
      </c>
      <c r="N46" s="93">
        <f ca="1">IFERROR(__xludf.DUMMYFUNCTION("IMPORTRANGE(""https://docs.google.com/spreadsheets/d/1MeEWN-I1oV_STSDYn1IFDPWt_1FKiwhDph83XaGc0o0/edit?usp=sharing"",""งบพรบ!T23"")"),203789)</f>
        <v>203789</v>
      </c>
      <c r="O46" s="93">
        <f t="shared" ca="1" si="26"/>
        <v>40.073032028693682</v>
      </c>
      <c r="P46" s="93">
        <f t="shared" ca="1" si="27"/>
        <v>75.7825021475347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IFERROR(__xludf.DUMMYFUNCTION("IMPORTRANGE(""https://docs.google.com/spreadsheets/d/1MeEWN-I1oV_STSDYn1IFDPWt_1FKiwhDph83XaGc0o0/edit?usp=sharing"",""งบพรบ!P23"")"),0)</f>
        <v>0</v>
      </c>
      <c r="M49" s="52">
        <f ca="1">IFERROR(__xludf.DUMMYFUNCTION("IMPORTRANGE(""https://docs.google.com/spreadsheets/d/1MeEWN-I1oV_STSDYn1IFDPWt_1FKiwhDph83XaGc0o0/edit?usp=sharing"",""งบพรบ!S23"")"),0)</f>
        <v>0</v>
      </c>
      <c r="N49" s="52">
        <f ca="1">IFERROR(__xludf.DUMMYFUNCTION("IMPORTRANGE(""https://docs.google.com/spreadsheets/d/1MeEWN-I1oV_STSDYn1IFDPWt_1FKiwhDph83XaGc0o0/edit?usp=sharing"",""งบพรบ!U23"")"),0)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1299900</v>
      </c>
      <c r="M53" s="116">
        <f t="shared" ca="1" si="31"/>
        <v>890600</v>
      </c>
      <c r="N53" s="116">
        <f t="shared" ca="1" si="31"/>
        <v>792854.49</v>
      </c>
      <c r="O53" s="116">
        <f t="shared" ref="O53:O61" ca="1" si="32">IF(L53&gt;0,N53*100/L53,0)</f>
        <v>60.99349873067159</v>
      </c>
      <c r="P53" s="116">
        <f t="shared" ref="P53:P61" ca="1" si="33">IF(M53&gt;0,N53*100/M53,0)</f>
        <v>89.024757466876267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1299900</v>
      </c>
      <c r="M55" s="123">
        <f t="shared" ca="1" si="34"/>
        <v>890600</v>
      </c>
      <c r="N55" s="123">
        <f t="shared" ca="1" si="34"/>
        <v>792854.49</v>
      </c>
      <c r="O55" s="123">
        <f t="shared" ca="1" si="32"/>
        <v>60.99349873067159</v>
      </c>
      <c r="P55" s="123">
        <f t="shared" ca="1" si="33"/>
        <v>89.024757466876267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811600</v>
      </c>
      <c r="M56" s="466">
        <f t="shared" ca="1" si="35"/>
        <v>405800</v>
      </c>
      <c r="N56" s="466">
        <f t="shared" ca="1" si="35"/>
        <v>308054.49</v>
      </c>
      <c r="O56" s="466">
        <f t="shared" ca="1" si="32"/>
        <v>37.956442828979796</v>
      </c>
      <c r="P56" s="466">
        <f t="shared" ca="1" si="33"/>
        <v>75.912885657959592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IFERROR(__xludf.DUMMYFUNCTION("IMPORTRANGE(""https://docs.google.com/spreadsheets/d/1MeEWN-I1oV_STSDYn1IFDPWt_1FKiwhDph83XaGc0o0/edit?usp=sharing"",""งบพรบ!W23"")"),811600)</f>
        <v>811600</v>
      </c>
      <c r="M58" s="93">
        <f ca="1">IFERROR(__xludf.DUMMYFUNCTION("IMPORTRANGE(""https://docs.google.com/spreadsheets/d/1MeEWN-I1oV_STSDYn1IFDPWt_1FKiwhDph83XaGc0o0/edit?usp=sharing"",""งบพรบ!AB23"")"),405800)</f>
        <v>405800</v>
      </c>
      <c r="N58" s="93">
        <f ca="1">IFERROR(__xludf.DUMMYFUNCTION("IMPORTRANGE(""https://docs.google.com/spreadsheets/d/1MeEWN-I1oV_STSDYn1IFDPWt_1FKiwhDph83XaGc0o0/edit?usp=sharing"",""งบพรบ!AD23"")"),308054.49)</f>
        <v>308054.49</v>
      </c>
      <c r="O58" s="93">
        <f t="shared" ca="1" si="32"/>
        <v>37.956442828979796</v>
      </c>
      <c r="P58" s="93">
        <f t="shared" ca="1" si="33"/>
        <v>75.912885657959592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488300</v>
      </c>
      <c r="M59" s="466">
        <f t="shared" ca="1" si="36"/>
        <v>484800</v>
      </c>
      <c r="N59" s="466">
        <f t="shared" ca="1" si="36"/>
        <v>484800</v>
      </c>
      <c r="O59" s="466">
        <f t="shared" ca="1" si="32"/>
        <v>99.283227524063079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IFERROR(__xludf.DUMMYFUNCTION("IMPORTRANGE(""https://docs.google.com/spreadsheets/d/1MeEWN-I1oV_STSDYn1IFDPWt_1FKiwhDph83XaGc0o0/edit?usp=sharing"",""งบพรบ!Z23"")"),488300)</f>
        <v>488300</v>
      </c>
      <c r="M61" s="52">
        <f ca="1">IFERROR(__xludf.DUMMYFUNCTION("IMPORTRANGE(""https://docs.google.com/spreadsheets/d/1MeEWN-I1oV_STSDYn1IFDPWt_1FKiwhDph83XaGc0o0/edit?usp=sharing"",""งบพรบ!AC23"")"),484800)</f>
        <v>484800</v>
      </c>
      <c r="N61" s="52">
        <f ca="1">IFERROR(__xludf.DUMMYFUNCTION("IMPORTRANGE(""https://docs.google.com/spreadsheets/d/1MeEWN-I1oV_STSDYn1IFDPWt_1FKiwhDph83XaGc0o0/edit?usp=sharing"",""งบพรบ!AE23"")"),484800)</f>
        <v>484800</v>
      </c>
      <c r="O61" s="52">
        <f t="shared" ca="1" si="32"/>
        <v>99.283227524063079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640000</v>
      </c>
      <c r="M66" s="155">
        <f t="shared" ca="1" si="39"/>
        <v>314000</v>
      </c>
      <c r="N66" s="155">
        <f t="shared" ca="1" si="39"/>
        <v>119129</v>
      </c>
      <c r="O66" s="155">
        <f t="shared" ref="O66:O74" ca="1" si="40">IF(L66&gt;0,N66*100/L66,0)</f>
        <v>18.613906249999999</v>
      </c>
      <c r="P66" s="155">
        <f t="shared" ref="P66:P74" ca="1" si="41">IF(M66&gt;0,N66*100/M66,0)</f>
        <v>37.939171974522296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640000</v>
      </c>
      <c r="M68" s="93">
        <f t="shared" ca="1" si="42"/>
        <v>314000</v>
      </c>
      <c r="N68" s="93">
        <f t="shared" ca="1" si="42"/>
        <v>119129</v>
      </c>
      <c r="O68" s="93">
        <f t="shared" ca="1" si="40"/>
        <v>18.613906249999999</v>
      </c>
      <c r="P68" s="93">
        <f t="shared" ca="1" si="41"/>
        <v>37.939171974522296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640000</v>
      </c>
      <c r="M69" s="466">
        <f t="shared" ca="1" si="43"/>
        <v>314000</v>
      </c>
      <c r="N69" s="466">
        <f t="shared" ca="1" si="43"/>
        <v>119129</v>
      </c>
      <c r="O69" s="466">
        <f t="shared" ca="1" si="40"/>
        <v>18.613906249999999</v>
      </c>
      <c r="P69" s="466">
        <f t="shared" ca="1" si="41"/>
        <v>37.939171974522296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IFERROR(__xludf.DUMMYFUNCTION("IMPORTRANGE(""https://docs.google.com/spreadsheets/d/1MeEWN-I1oV_STSDYn1IFDPWt_1FKiwhDph83XaGc0o0/edit?usp=sharing"",""งบพรบ!AG23"")"),640000)</f>
        <v>640000</v>
      </c>
      <c r="M71" s="93">
        <f ca="1">IFERROR(__xludf.DUMMYFUNCTION("IMPORTRANGE(""https://docs.google.com/spreadsheets/d/1MeEWN-I1oV_STSDYn1IFDPWt_1FKiwhDph83XaGc0o0/edit?usp=sharing"",""งบพรบ!AL23"")"),314000)</f>
        <v>314000</v>
      </c>
      <c r="N71" s="93">
        <f ca="1">IFERROR(__xludf.DUMMYFUNCTION("IMPORTRANGE(""https://docs.google.com/spreadsheets/d/1MeEWN-I1oV_STSDYn1IFDPWt_1FKiwhDph83XaGc0o0/edit?usp=sharing"",""งบพรบ!AN23"")"),119129)</f>
        <v>119129</v>
      </c>
      <c r="O71" s="93">
        <f t="shared" ca="1" si="40"/>
        <v>18.613906249999999</v>
      </c>
      <c r="P71" s="93">
        <f t="shared" ca="1" si="41"/>
        <v>37.939171974522296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IFERROR(__xludf.DUMMYFUNCTION("IMPORTRANGE(""https://docs.google.com/spreadsheets/d/1MeEWN-I1oV_STSDYn1IFDPWt_1FKiwhDph83XaGc0o0/edit?usp=sharing"",""งบพรบ!AJ23"")"),0)</f>
        <v>0</v>
      </c>
      <c r="M74" s="93">
        <f ca="1">IFERROR(__xludf.DUMMYFUNCTION("IMPORTRANGE(""https://docs.google.com/spreadsheets/d/1MeEWN-I1oV_STSDYn1IFDPWt_1FKiwhDph83XaGc0o0/edit?usp=sharing"",""งบพรบ!AM23"")"),0)</f>
        <v>0</v>
      </c>
      <c r="N74" s="93">
        <f ca="1">IFERROR(__xludf.DUMMYFUNCTION("IMPORTRANGE(""https://docs.google.com/spreadsheets/d/1MeEWN-I1oV_STSDYn1IFDPWt_1FKiwhDph83XaGc0o0/edit?usp=sharing"",""งบพรบ!AO23"")"),0)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IFERROR(__xludf.DUMMYFUNCTION("IMPORTRANGE(""https://docs.google.com/spreadsheets/d/1QqKyyYR6Q21VydFLVH3TRQUabQu_ym0Zz7PgGX0-kHA/edit?usp=sharing"",""แผน!D23"")"),1)</f>
        <v>1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IFERROR(__xludf.DUMMYFUNCTION("IMPORTRANGE(""https://docs.google.com/spreadsheets/d/1QqKyyYR6Q21VydFLVH3TRQUabQu_ym0Zz7PgGX0-kHA/edit?usp=sharing"",""แผน!E23"")"),35)</f>
        <v>35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420300</v>
      </c>
      <c r="M88" s="155">
        <f t="shared" ca="1" si="49"/>
        <v>198750</v>
      </c>
      <c r="N88" s="155">
        <f t="shared" ca="1" si="49"/>
        <v>173504</v>
      </c>
      <c r="O88" s="155">
        <f t="shared" ref="O88:O96" ca="1" si="50">IF(L88&gt;0,N88*100/L88,0)</f>
        <v>41.280989769212468</v>
      </c>
      <c r="P88" s="155">
        <f t="shared" ref="P88:P96" ca="1" si="51">IF(M88&gt;0,N88*100/M88,0)</f>
        <v>87.297610062893085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420300</v>
      </c>
      <c r="M90" s="93">
        <f t="shared" ca="1" si="52"/>
        <v>198750</v>
      </c>
      <c r="N90" s="93">
        <f t="shared" ca="1" si="52"/>
        <v>173504</v>
      </c>
      <c r="O90" s="93">
        <f t="shared" ca="1" si="50"/>
        <v>41.280989769212468</v>
      </c>
      <c r="P90" s="93">
        <f t="shared" ca="1" si="51"/>
        <v>87.297610062893085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420300</v>
      </c>
      <c r="M91" s="466">
        <f t="shared" ca="1" si="53"/>
        <v>198750</v>
      </c>
      <c r="N91" s="466">
        <f t="shared" ca="1" si="53"/>
        <v>173504</v>
      </c>
      <c r="O91" s="466">
        <f t="shared" ca="1" si="50"/>
        <v>41.280989769212468</v>
      </c>
      <c r="P91" s="466">
        <f t="shared" ca="1" si="51"/>
        <v>87.297610062893085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IFERROR(__xludf.DUMMYFUNCTION("IMPORTRANGE(""https://docs.google.com/spreadsheets/d/1MeEWN-I1oV_STSDYn1IFDPWt_1FKiwhDph83XaGc0o0/edit?usp=sharing"",""งบพรบ!AQ23"")"),420300)</f>
        <v>420300</v>
      </c>
      <c r="M93" s="93">
        <f ca="1">IFERROR(__xludf.DUMMYFUNCTION("IMPORTRANGE(""https://docs.google.com/spreadsheets/d/1MeEWN-I1oV_STSDYn1IFDPWt_1FKiwhDph83XaGc0o0/edit?usp=sharing"",""งบพรบ!AV23"")"),198750)</f>
        <v>198750</v>
      </c>
      <c r="N93" s="93">
        <f ca="1">IFERROR(__xludf.DUMMYFUNCTION("IMPORTRANGE(""https://docs.google.com/spreadsheets/d/1MeEWN-I1oV_STSDYn1IFDPWt_1FKiwhDph83XaGc0o0/edit?usp=sharing"",""งบพรบ!AX23"")"),173504)</f>
        <v>173504</v>
      </c>
      <c r="O93" s="93">
        <f t="shared" ca="1" si="50"/>
        <v>41.280989769212468</v>
      </c>
      <c r="P93" s="93">
        <f t="shared" ca="1" si="51"/>
        <v>87.297610062893085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IFERROR(__xludf.DUMMYFUNCTION("IMPORTRANGE(""https://docs.google.com/spreadsheets/d/1MeEWN-I1oV_STSDYn1IFDPWt_1FKiwhDph83XaGc0o0/edit?usp=sharing"",""งบพรบ!AT23"")"),0)</f>
        <v>0</v>
      </c>
      <c r="M96" s="93">
        <f ca="1">IFERROR(__xludf.DUMMYFUNCTION("IMPORTRANGE(""https://docs.google.com/spreadsheets/d/1MeEWN-I1oV_STSDYn1IFDPWt_1FKiwhDph83XaGc0o0/edit?usp=sharing"",""งบพรบ!AW23"")"),0)</f>
        <v>0</v>
      </c>
      <c r="N96" s="93">
        <f ca="1">IFERROR(__xludf.DUMMYFUNCTION("IMPORTRANGE(""https://docs.google.com/spreadsheets/d/1MeEWN-I1oV_STSDYn1IFDPWt_1FKiwhDph83XaGc0o0/edit?usp=sharing"",""งบพรบ!AY23"")"),0)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IFERROR(__xludf.DUMMYFUNCTION("IMPORTRANGE(""https://docs.google.com/spreadsheets/d/1QqKyyYR6Q21VydFLVH3TRQUabQu_ym0Zz7PgGX0-kHA/edit?usp=sharing"",""แผน!K23"")"),75)</f>
        <v>75</v>
      </c>
      <c r="J98" s="270">
        <f>J102</f>
        <v>75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IFERROR(__xludf.DUMMYFUNCTION("IMPORTRANGE(""https://docs.google.com/spreadsheets/d/1QqKyyYR6Q21VydFLVH3TRQUabQu_ym0Zz7PgGX0-kHA/edit?usp=sharing"",""แผน!L23"")"),25)</f>
        <v>25</v>
      </c>
      <c r="J99" s="270">
        <f>J104</f>
        <v>25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IFERROR(__xludf.DUMMYFUNCTION("IMPORTRANGE(""https://docs.google.com/spreadsheets/d/1QqKyyYR6Q21VydFLVH3TRQUabQu_ym0Zz7PgGX0-kHA/edit?usp=sharing"",""แผน!M23"")"),2)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IFERROR(__xludf.DUMMYFUNCTION("IMPORTRANGE(""https://docs.google.com/spreadsheets/d/1QqKyyYR6Q21VydFLVH3TRQUabQu_ym0Zz7PgGX0-kHA/edit?usp=sharing"",""แผน!N23"")"),75)</f>
        <v>75</v>
      </c>
      <c r="J102" s="215">
        <v>75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IFERROR(__xludf.DUMMYFUNCTION("IMPORTRANGE(""https://docs.google.com/spreadsheets/d/1QqKyyYR6Q21VydFLVH3TRQUabQu_ym0Zz7PgGX0-kHA/edit?usp=sharing"",""แผน!O23"")"),25)</f>
        <v>25</v>
      </c>
      <c r="J103" s="215">
        <v>25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IFERROR(__xludf.DUMMYFUNCTION("IMPORTRANGE(""https://docs.google.com/spreadsheets/d/1QqKyyYR6Q21VydFLVH3TRQUabQu_ym0Zz7PgGX0-kHA/edit?usp=sharing"",""แผน!O23"")"),25)</f>
        <v>25</v>
      </c>
      <c r="J104" s="215">
        <v>25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IFERROR(__xludf.DUMMYFUNCTION("IMPORTRANGE(""https://docs.google.com/spreadsheets/d/1QqKyyYR6Q21VydFLVH3TRQUabQu_ym0Zz7PgGX0-kHA/edit?usp=sharing"",""แผน!P23"")"),1)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IFERROR(__xludf.DUMMYFUNCTION("IMPORTRANGE(""https://docs.google.com/spreadsheets/d/1QqKyyYR6Q21VydFLVH3TRQUabQu_ym0Zz7PgGX0-kHA/edit?usp=sharing"",""แผน!P23"")"),1)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IFERROR(__xludf.DUMMYFUNCTION("IMPORTRANGE(""https://docs.google.com/spreadsheets/d/1QqKyyYR6Q21VydFLVH3TRQUabQu_ym0Zz7PgGX0-kHA/edit?usp=sharing"",""แผน!Q23"")"),1)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IFERROR(__xludf.DUMMYFUNCTION("IMPORTRANGE(""https://docs.google.com/spreadsheets/d/1QqKyyYR6Q21VydFLVH3TRQUabQu_ym0Zz7PgGX0-kHA/edit?usp=sharing"",""แผน!Q23"")"),1)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IFERROR(__xludf.DUMMYFUNCTION("IMPORTRANGE(""https://docs.google.com/spreadsheets/d/1QqKyyYR6Q21VydFLVH3TRQUabQu_ym0Zz7PgGX0-kHA/edit?usp=sharing"",""แผน!R23"")"),25)</f>
        <v>25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IFERROR(__xludf.DUMMYFUNCTION("IMPORTRANGE(""https://docs.google.com/spreadsheets/d/1QqKyyYR6Q21VydFLVH3TRQUabQu_ym0Zz7PgGX0-kHA/edit?usp=sharing"",""แผน!R23"")"),25)</f>
        <v>25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IFERROR(__xludf.DUMMYFUNCTION("IMPORTRANGE(""https://docs.google.com/spreadsheets/d/1QqKyyYR6Q21VydFLVH3TRQUabQu_ym0Zz7PgGX0-kHA/edit?usp=sharing"",""แผน!R23"")"),25)</f>
        <v>25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IFERROR(__xludf.DUMMYFUNCTION("IMPORTRANGE(""https://docs.google.com/spreadsheets/d/1QqKyyYR6Q21VydFLVH3TRQUabQu_ym0Zz7PgGX0-kHA/edit?usp=sharing"",""แผน!S23"")"),1)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IFERROR(__xludf.DUMMYFUNCTION("IMPORTRANGE(""https://docs.google.com/spreadsheets/d/1QqKyyYR6Q21VydFLVH3TRQUabQu_ym0Zz7PgGX0-kHA/edit?usp=sharing"",""แผน!T23"")"),1)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IFERROR(__xludf.DUMMYFUNCTION("IMPORTRANGE(""https://docs.google.com/spreadsheets/d/1MeEWN-I1oV_STSDYn1IFDPWt_1FKiwhDph83XaGc0o0/edit?usp=sharing"",""งบพรบ!BA23"")"),0)</f>
        <v>0</v>
      </c>
      <c r="M124" s="93">
        <f ca="1">IFERROR(__xludf.DUMMYFUNCTION("IMPORTRANGE(""https://docs.google.com/spreadsheets/d/1MeEWN-I1oV_STSDYn1IFDPWt_1FKiwhDph83XaGc0o0/edit?usp=sharing"",""งบพรบ!BF23"")"),0)</f>
        <v>0</v>
      </c>
      <c r="N124" s="93">
        <f ca="1">IFERROR(__xludf.DUMMYFUNCTION("IMPORTRANGE(""https://docs.google.com/spreadsheets/d/1MeEWN-I1oV_STSDYn1IFDPWt_1FKiwhDph83XaGc0o0/edit?usp=sharing"",""งบพรบ!BH23"")"),0)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IFERROR(__xludf.DUMMYFUNCTION("IMPORTRANGE(""https://docs.google.com/spreadsheets/d/1MeEWN-I1oV_STSDYn1IFDPWt_1FKiwhDph83XaGc0o0/edit?usp=sharing"",""งบพรบ!BD23"")"),0)</f>
        <v>0</v>
      </c>
      <c r="M127" s="93">
        <f ca="1">IFERROR(__xludf.DUMMYFUNCTION("IMPORTRANGE(""https://docs.google.com/spreadsheets/d/1MeEWN-I1oV_STSDYn1IFDPWt_1FKiwhDph83XaGc0o0/edit?usp=sharing"",""งบพรบ!BG23"")"),0)</f>
        <v>0</v>
      </c>
      <c r="N127" s="93">
        <f ca="1">IFERROR(__xludf.DUMMYFUNCTION("IMPORTRANGE(""https://docs.google.com/spreadsheets/d/1MeEWN-I1oV_STSDYn1IFDPWt_1FKiwhDph83XaGc0o0/edit?usp=sharing"",""งบพรบ!BI23"")"),0)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177400</v>
      </c>
      <c r="N132" s="155">
        <f t="shared" ca="1" si="69"/>
        <v>127960</v>
      </c>
      <c r="O132" s="155">
        <f t="shared" ref="O132:O140" ca="1" si="70">IF(L132&gt;0,N132*100/L132,0)</f>
        <v>53.482685837286574</v>
      </c>
      <c r="P132" s="155">
        <f t="shared" ref="P132:P140" ca="1" si="71">IF(M132&gt;0,N132*100/M132,0)</f>
        <v>72.130777903043963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239255</v>
      </c>
      <c r="M134" s="93">
        <f t="shared" ca="1" si="72"/>
        <v>177400</v>
      </c>
      <c r="N134" s="93">
        <f t="shared" ca="1" si="72"/>
        <v>127960</v>
      </c>
      <c r="O134" s="93">
        <f t="shared" ca="1" si="70"/>
        <v>53.482685837286574</v>
      </c>
      <c r="P134" s="93">
        <f t="shared" ca="1" si="71"/>
        <v>72.130777903043963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74400</v>
      </c>
      <c r="N135" s="466">
        <f t="shared" ca="1" si="73"/>
        <v>24960</v>
      </c>
      <c r="O135" s="466">
        <f t="shared" ca="1" si="70"/>
        <v>18.318593813071079</v>
      </c>
      <c r="P135" s="466">
        <f t="shared" ca="1" si="71"/>
        <v>33.548387096774192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IFERROR(__xludf.DUMMYFUNCTION("IMPORTRANGE(""https://docs.google.com/spreadsheets/d/1MeEWN-I1oV_STSDYn1IFDPWt_1FKiwhDph83XaGc0o0/edit?usp=sharing"",""งบพรบ!BK23"")"),136255)</f>
        <v>136255</v>
      </c>
      <c r="M137" s="93">
        <f ca="1">IFERROR(__xludf.DUMMYFUNCTION("IMPORTRANGE(""https://docs.google.com/spreadsheets/d/1MeEWN-I1oV_STSDYn1IFDPWt_1FKiwhDph83XaGc0o0/edit?usp=sharing"",""งบพรบ!BP23"")"),74400)</f>
        <v>74400</v>
      </c>
      <c r="N137" s="93">
        <f ca="1">IFERROR(__xludf.DUMMYFUNCTION("IMPORTRANGE(""https://docs.google.com/spreadsheets/d/1MeEWN-I1oV_STSDYn1IFDPWt_1FKiwhDph83XaGc0o0/edit?usp=sharing"",""งบพรบ!BR23"")"),24960)</f>
        <v>24960</v>
      </c>
      <c r="O137" s="93">
        <f t="shared" ca="1" si="70"/>
        <v>18.318593813071079</v>
      </c>
      <c r="P137" s="93">
        <f t="shared" ca="1" si="71"/>
        <v>33.548387096774192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IFERROR(__xludf.DUMMYFUNCTION("IMPORTRANGE(""https://docs.google.com/spreadsheets/d/1MeEWN-I1oV_STSDYn1IFDPWt_1FKiwhDph83XaGc0o0/edit?usp=sharing"",""งบพรบ!BN23"")"),103000)</f>
        <v>103000</v>
      </c>
      <c r="M140" s="93">
        <f ca="1">IFERROR(__xludf.DUMMYFUNCTION("IMPORTRANGE(""https://docs.google.com/spreadsheets/d/1MeEWN-I1oV_STSDYn1IFDPWt_1FKiwhDph83XaGc0o0/edit?usp=sharing"",""งบพรบ!BQ23"")"),103000)</f>
        <v>103000</v>
      </c>
      <c r="N140" s="93">
        <f ca="1">IFERROR(__xludf.DUMMYFUNCTION("IMPORTRANGE(""https://docs.google.com/spreadsheets/d/1MeEWN-I1oV_STSDYn1IFDPWt_1FKiwhDph83XaGc0o0/edit?usp=sharing"",""งบพรบ!BS23"")"),103000)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IFERROR(__xludf.DUMMYFUNCTION("IMPORTRANGE(""https://docs.google.com/spreadsheets/d/1QqKyyYR6Q21VydFLVH3TRQUabQu_ym0Zz7PgGX0-kHA/edit?usp=sharing"",""แผน!U23"")"),5)</f>
        <v>5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IFERROR(__xludf.DUMMYFUNCTION("IMPORTRANGE(""https://docs.google.com/spreadsheets/d/1QqKyyYR6Q21VydFLVH3TRQUabQu_ym0Zz7PgGX0-kHA/edit?usp=sharing"",""แผน!V23"")"),10)</f>
        <v>10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IFERROR(__xludf.DUMMYFUNCTION("IMPORTRANGE(""https://docs.google.com/spreadsheets/d/1QqKyyYR6Q21VydFLVH3TRQUabQu_ym0Zz7PgGX0-kHA/edit?usp=sharing"",""แผน!W23"")"),1)</f>
        <v>1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40</v>
      </c>
      <c r="K148" s="145">
        <f ca="1">IF(I148&gt;0,J148*100/I148,0)</f>
        <v>200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29480</v>
      </c>
      <c r="N149" s="155">
        <f t="shared" ca="1" si="77"/>
        <v>17346</v>
      </c>
      <c r="O149" s="155">
        <f t="shared" ref="O149:O157" ca="1" si="78">IF(L149&gt;0,N149*100/L149,0)</f>
        <v>173.46</v>
      </c>
      <c r="P149" s="155">
        <f t="shared" ref="P149:P157" ca="1" si="79">IF(M149&gt;0,N149*100/M149,0)</f>
        <v>58.839891451831747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29480</v>
      </c>
      <c r="N151" s="93">
        <f t="shared" ca="1" si="80"/>
        <v>17346</v>
      </c>
      <c r="O151" s="93">
        <f t="shared" ca="1" si="78"/>
        <v>173.46</v>
      </c>
      <c r="P151" s="93">
        <f t="shared" ca="1" si="79"/>
        <v>58.839891451831747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29480</v>
      </c>
      <c r="N152" s="466">
        <f t="shared" ca="1" si="81"/>
        <v>17346</v>
      </c>
      <c r="O152" s="466">
        <f t="shared" ca="1" si="78"/>
        <v>173.46</v>
      </c>
      <c r="P152" s="466">
        <f t="shared" ca="1" si="79"/>
        <v>58.839891451831747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IFERROR(__xludf.DUMMYFUNCTION("IMPORTRANGE(""https://docs.google.com/spreadsheets/d/1MeEWN-I1oV_STSDYn1IFDPWt_1FKiwhDph83XaGc0o0/edit?usp=sharing"",""งบพรบ!BU23"")"),10000)</f>
        <v>10000</v>
      </c>
      <c r="M154" s="93">
        <f ca="1">IFERROR(__xludf.DUMMYFUNCTION("IMPORTRANGE(""https://docs.google.com/spreadsheets/d/1MeEWN-I1oV_STSDYn1IFDPWt_1FKiwhDph83XaGc0o0/edit?usp=sharing"",""งบพรบ!BZ23"")"),29480)</f>
        <v>29480</v>
      </c>
      <c r="N154" s="93">
        <f ca="1">IFERROR(__xludf.DUMMYFUNCTION("IMPORTRANGE(""https://docs.google.com/spreadsheets/d/1MeEWN-I1oV_STSDYn1IFDPWt_1FKiwhDph83XaGc0o0/edit?usp=sharing"",""งบพรบ!CB23"")"),17346)</f>
        <v>17346</v>
      </c>
      <c r="O154" s="93">
        <f t="shared" ca="1" si="78"/>
        <v>173.46</v>
      </c>
      <c r="P154" s="93">
        <f t="shared" ca="1" si="79"/>
        <v>58.839891451831747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IFERROR(__xludf.DUMMYFUNCTION("IMPORTRANGE(""https://docs.google.com/spreadsheets/d/1MeEWN-I1oV_STSDYn1IFDPWt_1FKiwhDph83XaGc0o0/edit?usp=sharing"",""งบพรบ!BX23"")"),0)</f>
        <v>0</v>
      </c>
      <c r="M157" s="93">
        <f ca="1">IFERROR(__xludf.DUMMYFUNCTION("IMPORTRANGE(""https://docs.google.com/spreadsheets/d/1MeEWN-I1oV_STSDYn1IFDPWt_1FKiwhDph83XaGc0o0/edit?usp=sharing"",""งบพรบ!CA23"")"),0)</f>
        <v>0</v>
      </c>
      <c r="N157" s="93">
        <f ca="1">IFERROR(__xludf.DUMMYFUNCTION("IMPORTRANGE(""https://docs.google.com/spreadsheets/d/1MeEWN-I1oV_STSDYn1IFDPWt_1FKiwhDph83XaGc0o0/edit?usp=sharing"",""งบพรบ!CC23"")"),0)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IFERROR(__xludf.DUMMYFUNCTION("IMPORTRANGE(""https://docs.google.com/spreadsheets/d/1QqKyyYR6Q21VydFLVH3TRQUabQu_ym0Zz7PgGX0-kHA/edit?usp=sharing"",""แผน!X23"")"),20)</f>
        <v>20</v>
      </c>
      <c r="J159" s="215">
        <v>40</v>
      </c>
      <c r="K159" s="466">
        <f ca="1">IF(I159&gt;0,J159*100/I159,0)</f>
        <v>200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22055</v>
      </c>
      <c r="N168" s="466">
        <f t="shared" ca="1" si="88"/>
        <v>0</v>
      </c>
      <c r="O168" s="466">
        <f t="shared" ca="1" si="85"/>
        <v>0</v>
      </c>
      <c r="P168" s="46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IFERROR(__xludf.DUMMYFUNCTION("IMPORTRANGE(""https://docs.google.com/spreadsheets/d/1MeEWN-I1oV_STSDYn1IFDPWt_1FKiwhDph83XaGc0o0/edit?usp=sharing"",""งบพรบ!CE23"")"),22055)</f>
        <v>22055</v>
      </c>
      <c r="M170" s="93">
        <f ca="1">IFERROR(__xludf.DUMMYFUNCTION("IMPORTRANGE(""https://docs.google.com/spreadsheets/d/1MeEWN-I1oV_STSDYn1IFDPWt_1FKiwhDph83XaGc0o0/edit?usp=sharing"",""งบพรบ!CJ23"")"),22055)</f>
        <v>22055</v>
      </c>
      <c r="N170" s="93">
        <f ca="1">IFERROR(__xludf.DUMMYFUNCTION("IMPORTRANGE(""https://docs.google.com/spreadsheets/d/1MeEWN-I1oV_STSDYn1IFDPWt_1FKiwhDph83XaGc0o0/edit?usp=sharing"",""งบพรบ!CL23"")"),0)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IFERROR(__xludf.DUMMYFUNCTION("IMPORTRANGE(""https://docs.google.com/spreadsheets/d/1MeEWN-I1oV_STSDYn1IFDPWt_1FKiwhDph83XaGc0o0/edit?usp=sharing"",""งบพรบ!CH23"")"),0)</f>
        <v>0</v>
      </c>
      <c r="M173" s="93">
        <f ca="1">IFERROR(__xludf.DUMMYFUNCTION("IMPORTRANGE(""https://docs.google.com/spreadsheets/d/1MeEWN-I1oV_STSDYn1IFDPWt_1FKiwhDph83XaGc0o0/edit?usp=sharing"",""งบพรบ!CK23"")"),0)</f>
        <v>0</v>
      </c>
      <c r="N173" s="93">
        <f ca="1">IFERROR(__xludf.DUMMYFUNCTION("IMPORTRANGE(""https://docs.google.com/spreadsheets/d/1MeEWN-I1oV_STSDYn1IFDPWt_1FKiwhDph83XaGc0o0/edit?usp=sharing"",""งบพรบ!CM23"")"),0)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IFERROR(__xludf.DUMMYFUNCTION("IMPORTRANGE(""https://docs.google.com/spreadsheets/d/1QqKyyYR6Q21VydFLVH3TRQUabQu_ym0Zz7PgGX0-kHA/edit?usp=sharing"",""แผน!Y23"")"),11)</f>
        <v>11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111200</v>
      </c>
      <c r="M181" s="155">
        <f t="shared" ca="1" si="92"/>
        <v>49000</v>
      </c>
      <c r="N181" s="155">
        <f t="shared" ca="1" si="92"/>
        <v>8134</v>
      </c>
      <c r="O181" s="155">
        <f t="shared" ref="O181:O189" ca="1" si="93">IF(L181&gt;0,N181*100/L181,0)</f>
        <v>7.3147482014388485</v>
      </c>
      <c r="P181" s="155">
        <f t="shared" ref="P181:P189" ca="1" si="94">IF(M181&gt;0,N181*100/M181,0)</f>
        <v>16.600000000000001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111200</v>
      </c>
      <c r="M183" s="93">
        <f t="shared" ca="1" si="95"/>
        <v>49000</v>
      </c>
      <c r="N183" s="93">
        <f t="shared" ca="1" si="95"/>
        <v>8134</v>
      </c>
      <c r="O183" s="93">
        <f t="shared" ca="1" si="93"/>
        <v>7.3147482014388485</v>
      </c>
      <c r="P183" s="93">
        <f t="shared" ca="1" si="94"/>
        <v>16.600000000000001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111200</v>
      </c>
      <c r="M184" s="466">
        <f t="shared" ca="1" si="96"/>
        <v>49000</v>
      </c>
      <c r="N184" s="466">
        <f t="shared" ca="1" si="96"/>
        <v>8134</v>
      </c>
      <c r="O184" s="466">
        <f t="shared" ca="1" si="93"/>
        <v>7.3147482014388485</v>
      </c>
      <c r="P184" s="466">
        <f t="shared" ca="1" si="94"/>
        <v>16.600000000000001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IFERROR(__xludf.DUMMYFUNCTION("IMPORTRANGE(""https://docs.google.com/spreadsheets/d/1MeEWN-I1oV_STSDYn1IFDPWt_1FKiwhDph83XaGc0o0/edit?usp=sharing"",""งบพรบ!CO23"")"),111200)</f>
        <v>111200</v>
      </c>
      <c r="M186" s="93">
        <f ca="1">IFERROR(__xludf.DUMMYFUNCTION("IMPORTRANGE(""https://docs.google.com/spreadsheets/d/1MeEWN-I1oV_STSDYn1IFDPWt_1FKiwhDph83XaGc0o0/edit?usp=sharing"",""งบพรบ!CT23"")"),49000)</f>
        <v>49000</v>
      </c>
      <c r="N186" s="93">
        <f ca="1">IFERROR(__xludf.DUMMYFUNCTION("IMPORTRANGE(""https://docs.google.com/spreadsheets/d/1MeEWN-I1oV_STSDYn1IFDPWt_1FKiwhDph83XaGc0o0/edit?usp=sharing"",""งบพรบ!CV23"")"),8134)</f>
        <v>8134</v>
      </c>
      <c r="O186" s="93">
        <f t="shared" ca="1" si="93"/>
        <v>7.3147482014388485</v>
      </c>
      <c r="P186" s="93">
        <f t="shared" ca="1" si="94"/>
        <v>16.600000000000001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IFERROR(__xludf.DUMMYFUNCTION("IMPORTRANGE(""https://docs.google.com/spreadsheets/d/1MeEWN-I1oV_STSDYn1IFDPWt_1FKiwhDph83XaGc0o0/edit?usp=sharing"",""งบพรบ!CR23"")"),0)</f>
        <v>0</v>
      </c>
      <c r="M189" s="93">
        <f ca="1">IFERROR(__xludf.DUMMYFUNCTION("IMPORTRANGE(""https://docs.google.com/spreadsheets/d/1MeEWN-I1oV_STSDYn1IFDPWt_1FKiwhDph83XaGc0o0/edit?usp=sharing"",""งบพรบ!CU23"")"),0)</f>
        <v>0</v>
      </c>
      <c r="N189" s="93">
        <f ca="1">IFERROR(__xludf.DUMMYFUNCTION("IMPORTRANGE(""https://docs.google.com/spreadsheets/d/1MeEWN-I1oV_STSDYn1IFDPWt_1FKiwhDph83XaGc0o0/edit?usp=sharing"",""งบพรบ!CW23"")"),0)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IFERROR(__xludf.DUMMYFUNCTION("IMPORTRANGE(""https://docs.google.com/spreadsheets/d/1QqKyyYR6Q21VydFLVH3TRQUabQu_ym0Zz7PgGX0-kHA/edit?usp=sharing"",""แผน!AC23"")"),4)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IFERROR(__xludf.DUMMYFUNCTION("IMPORTRANGE(""https://docs.google.com/spreadsheets/d/1QqKyyYR6Q21VydFLVH3TRQUabQu_ym0Zz7PgGX0-kHA/edit?usp=sharing"",""แผน!AE23"")"),2000)</f>
        <v>2000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IFERROR(__xludf.DUMMYFUNCTION("IMPORTRANGE(""https://docs.google.com/spreadsheets/d/1QqKyyYR6Q21VydFLVH3TRQUabQu_ym0Zz7PgGX0-kHA/edit?usp=sharing"",""แผน!AF23"")"),16000)</f>
        <v>16000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IFERROR(__xludf.DUMMYFUNCTION("IMPORTRANGE(""https://docs.google.com/spreadsheets/d/1QqKyyYR6Q21VydFLVH3TRQUabQu_ym0Zz7PgGX0-kHA/edit?usp=sharing"",""แผน!AG23"")"),8000)</f>
        <v>8000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IFERROR(__xludf.DUMMYFUNCTION("IMPORTRANGE(""https://docs.google.com/spreadsheets/d/1QqKyyYR6Q21VydFLVH3TRQUabQu_ym0Zz7PgGX0-kHA/edit?usp=sharing"",""แผน!AH23"")"),0)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IFERROR(__xludf.DUMMYFUNCTION("IMPORTRANGE(""https://docs.google.com/spreadsheets/d/1QqKyyYR6Q21VydFLVH3TRQUabQu_ym0Zz7PgGX0-kHA/edit?usp=sharing"",""แผน!AI23"")"),2)</f>
        <v>2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IFERROR(__xludf.DUMMYFUNCTION("IMPORTRANGE(""https://docs.google.com/spreadsheets/d/1QqKyyYR6Q21VydFLVH3TRQUabQu_ym0Zz7PgGX0-kHA/edit?usp=sharing"",""แผน!AK23"")"),2000)</f>
        <v>2000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IFERROR(__xludf.DUMMYFUNCTION("IMPORTRANGE(""https://docs.google.com/spreadsheets/d/1QqKyyYR6Q21VydFLVH3TRQUabQu_ym0Zz7PgGX0-kHA/edit?usp=sharing"",""แผน!AL23"")"),10000)</f>
        <v>10000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IFERROR(__xludf.DUMMYFUNCTION("IMPORTRANGE(""https://docs.google.com/spreadsheets/d/1QqKyyYR6Q21VydFLVH3TRQUabQu_ym0Zz7PgGX0-kHA/edit?usp=sharing"",""แผน!AM23"")"),16000)</f>
        <v>16000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IFERROR(__xludf.DUMMYFUNCTION("IMPORTRANGE(""https://docs.google.com/spreadsheets/d/1QqKyyYR6Q21VydFLVH3TRQUabQu_ym0Zz7PgGX0-kHA/edit?usp=sharing"",""แผน!AN23"")"),2)</f>
        <v>2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IFERROR(__xludf.DUMMYFUNCTION("IMPORTRANGE(""https://docs.google.com/spreadsheets/d/1QqKyyYR6Q21VydFLVH3TRQUabQu_ym0Zz7PgGX0-kHA/edit?usp=sharing"",""แผน!AN23"")"),2)</f>
        <v>2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51200</v>
      </c>
      <c r="M217" s="155"/>
      <c r="N217" s="155">
        <f>N218+N219+N220</f>
        <v>7509</v>
      </c>
      <c r="O217" s="155">
        <f ca="1">IF(L217&gt;0,N217*100/L217,0)</f>
        <v>14.666015625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IFERROR(__xludf.DUMMYFUNCTION("IMPORTRANGE(""https://docs.google.com/spreadsheets/d/1QqKyyYR6Q21VydFLVH3TRQUabQu_ym0Zz7PgGX0-kHA/edit?usp=sharing"",""แผน!AP23"")"),8000)</f>
        <v>8000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IFERROR(__xludf.DUMMYFUNCTION("IMPORTRANGE(""https://docs.google.com/spreadsheets/d/1QqKyyYR6Q21VydFLVH3TRQUabQu_ym0Zz7PgGX0-kHA/edit?usp=sharing"",""แผน!AQ23"")"),33200)</f>
        <v>33200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IFERROR(__xludf.DUMMYFUNCTION("IMPORTRANGE(""https://docs.google.com/spreadsheets/d/1QqKyyYR6Q21VydFLVH3TRQUabQu_ym0Zz7PgGX0-kHA/edit?usp=sharing"",""แผน!AR23"")"),10000)</f>
        <v>10000</v>
      </c>
      <c r="M220" s="466"/>
      <c r="N220" s="798">
        <v>7509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IFERROR(__xludf.DUMMYFUNCTION("IMPORTRANGE(""https://docs.google.com/spreadsheets/d/1QqKyyYR6Q21VydFLVH3TRQUabQu_ym0Zz7PgGX0-kHA/edit?usp=sharing"",""แผน!AT23"")"),128000)</f>
        <v>128000</v>
      </c>
      <c r="J223" s="215">
        <v>128000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IFERROR(__xludf.DUMMYFUNCTION("IMPORTRANGE(""https://docs.google.com/spreadsheets/d/1QqKyyYR6Q21VydFLVH3TRQUabQu_ym0Zz7PgGX0-kHA/edit?usp=sharing"",""แผน!AT23"")"),128000)</f>
        <v>128000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IFERROR(__xludf.DUMMYFUNCTION("IMPORTRANGE(""https://docs.google.com/spreadsheets/d/1QqKyyYR6Q21VydFLVH3TRQUabQu_ym0Zz7PgGX0-kHA/edit?usp=sharing"",""แผน!AS23"")"),10)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IFERROR(__xludf.DUMMYFUNCTION("IMPORTRANGE(""https://docs.google.com/spreadsheets/d/1QqKyyYR6Q21VydFLVH3TRQUabQu_ym0Zz7PgGX0-kHA/edit?usp=sharing"",""แผน!AV23"")"),0)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IFERROR(__xludf.DUMMYFUNCTION("IMPORTRANGE(""https://docs.google.com/spreadsheets/d/1QqKyyYR6Q21VydFLVH3TRQUabQu_ym0Zz7PgGX0-kHA/edit?usp=sharing"",""แผน!AW23"")"),0)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IFERROR(__xludf.DUMMYFUNCTION("IMPORTRANGE(""https://docs.google.com/spreadsheets/d/1QqKyyYR6Q21VydFLVH3TRQUabQu_ym0Zz7PgGX0-kHA/edit?usp=sharing"",""แผน!AX23"")"),0)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IFERROR(__xludf.DUMMYFUNCTION("IMPORTRANGE(""https://docs.google.com/spreadsheets/d/1QqKyyYR6Q21VydFLVH3TRQUabQu_ym0Zz7PgGX0-kHA/edit?usp=sharing"",""แผน!AY23"")"),0)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IFERROR(__xludf.DUMMYFUNCTION("IMPORTRANGE(""https://docs.google.com/spreadsheets/d/1QqKyyYR6Q21VydFLVH3TRQUabQu_ym0Zz7PgGX0-kHA/edit?usp=sharing"",""แผน!BE23"")"),0)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IFERROR(__xludf.DUMMYFUNCTION("IMPORTRANGE(""https://docs.google.com/spreadsheets/d/1QqKyyYR6Q21VydFLVH3TRQUabQu_ym0Zz7PgGX0-kHA/edit?usp=sharing"",""แผน!AZ23"")"),0)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IFERROR(__xludf.DUMMYFUNCTION("IMPORTRANGE(""https://docs.google.com/spreadsheets/d/1QqKyyYR6Q21VydFLVH3TRQUabQu_ym0Zz7PgGX0-kHA/edit?usp=sharing"",""แผน!BA23"")"),0)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IFERROR(__xludf.DUMMYFUNCTION("IMPORTRANGE(""https://docs.google.com/spreadsheets/d/1QqKyyYR6Q21VydFLVH3TRQUabQu_ym0Zz7PgGX0-kHA/edit?usp=sharing"",""แผน!BB23"")"),0)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IFERROR(__xludf.DUMMYFUNCTION("IMPORTRANGE(""https://docs.google.com/spreadsheets/d/1QqKyyYR6Q21VydFLVH3TRQUabQu_ym0Zz7PgGX0-kHA/edit?usp=sharing"",""แผน!BC23"")"),0)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IFERROR(__xludf.DUMMYFUNCTION("IMPORTRANGE(""https://docs.google.com/spreadsheets/d/1QqKyyYR6Q21VydFLVH3TRQUabQu_ym0Zz7PgGX0-kHA/edit?usp=sharing"",""แผน!BF23"")"),0)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18132.5</v>
      </c>
      <c r="O261" s="155">
        <f t="shared" ref="O261:O269" ca="1" si="117">IF(L261&gt;0,N261*100/L261,0)</f>
        <v>67.407063197026019</v>
      </c>
      <c r="P261" s="155">
        <f t="shared" ref="P261:P269" ca="1" si="118">IF(M261&gt;0,N261*100/M261,0)</f>
        <v>75.86820083682008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18132.5</v>
      </c>
      <c r="O263" s="93">
        <f t="shared" ca="1" si="117"/>
        <v>67.407063197026019</v>
      </c>
      <c r="P263" s="93">
        <f t="shared" ca="1" si="118"/>
        <v>75.86820083682008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18132.5</v>
      </c>
      <c r="O264" s="466">
        <f t="shared" ca="1" si="117"/>
        <v>67.407063197026019</v>
      </c>
      <c r="P264" s="466">
        <f t="shared" ca="1" si="118"/>
        <v>75.86820083682008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IFERROR(__xludf.DUMMYFUNCTION("IMPORTRANGE(""https://docs.google.com/spreadsheets/d/1MeEWN-I1oV_STSDYn1IFDPWt_1FKiwhDph83XaGc0o0/edit?usp=sharing"",""งบพรบ!CY23"")"),26900)</f>
        <v>26900</v>
      </c>
      <c r="M266" s="93">
        <f ca="1">IFERROR(__xludf.DUMMYFUNCTION("IMPORTRANGE(""https://docs.google.com/spreadsheets/d/1MeEWN-I1oV_STSDYn1IFDPWt_1FKiwhDph83XaGc0o0/edit?usp=sharing"",""งบพรบ!DD23"")"),23900)</f>
        <v>23900</v>
      </c>
      <c r="N266" s="93">
        <f ca="1">IFERROR(__xludf.DUMMYFUNCTION("IMPORTRANGE(""https://docs.google.com/spreadsheets/d/1MeEWN-I1oV_STSDYn1IFDPWt_1FKiwhDph83XaGc0o0/edit?usp=sharing"",""งบพรบ!DF23"")"),18132.5)</f>
        <v>18132.5</v>
      </c>
      <c r="O266" s="93">
        <f t="shared" ca="1" si="117"/>
        <v>67.407063197026019</v>
      </c>
      <c r="P266" s="93">
        <f t="shared" ca="1" si="118"/>
        <v>75.86820083682008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IFERROR(__xludf.DUMMYFUNCTION("IMPORTRANGE(""https://docs.google.com/spreadsheets/d/1MeEWN-I1oV_STSDYn1IFDPWt_1FKiwhDph83XaGc0o0/edit?usp=sharing"",""งบพรบ!DB23"")"),0)</f>
        <v>0</v>
      </c>
      <c r="M269" s="93">
        <f ca="1">IFERROR(__xludf.DUMMYFUNCTION("IMPORTRANGE(""https://docs.google.com/spreadsheets/d/1MeEWN-I1oV_STSDYn1IFDPWt_1FKiwhDph83XaGc0o0/edit?usp=sharing"",""งบพรบ!DE23"")"),0)</f>
        <v>0</v>
      </c>
      <c r="N269" s="93">
        <f ca="1">IFERROR(__xludf.DUMMYFUNCTION("IMPORTRANGE(""https://docs.google.com/spreadsheets/d/1MeEWN-I1oV_STSDYn1IFDPWt_1FKiwhDph83XaGc0o0/edit?usp=sharing"",""งบพรบ!DG23"")"),0)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80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800</v>
      </c>
      <c r="J276" s="375">
        <f t="shared" si="124"/>
        <v>800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286680</v>
      </c>
      <c r="M277" s="155">
        <f t="shared" ca="1" si="125"/>
        <v>134200</v>
      </c>
      <c r="N277" s="155">
        <f t="shared" ca="1" si="125"/>
        <v>114745</v>
      </c>
      <c r="O277" s="155">
        <f t="shared" ref="O277:O285" ca="1" si="126">IF(L277&gt;0,N277*100/L277,0)</f>
        <v>40.025463931910146</v>
      </c>
      <c r="P277" s="155">
        <f t="shared" ref="P277:P285" ca="1" si="127">IF(M277&gt;0,N277*100/M277,0)</f>
        <v>85.502980625931443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286680</v>
      </c>
      <c r="M279" s="93">
        <f t="shared" ca="1" si="128"/>
        <v>134200</v>
      </c>
      <c r="N279" s="93">
        <f t="shared" ca="1" si="128"/>
        <v>114745</v>
      </c>
      <c r="O279" s="93">
        <f t="shared" ca="1" si="126"/>
        <v>40.025463931910146</v>
      </c>
      <c r="P279" s="93">
        <f t="shared" ca="1" si="127"/>
        <v>85.502980625931443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286680</v>
      </c>
      <c r="M280" s="466">
        <f t="shared" ca="1" si="129"/>
        <v>134200</v>
      </c>
      <c r="N280" s="466">
        <f t="shared" ca="1" si="129"/>
        <v>114745</v>
      </c>
      <c r="O280" s="466">
        <f t="shared" ca="1" si="126"/>
        <v>40.025463931910146</v>
      </c>
      <c r="P280" s="466">
        <f t="shared" ca="1" si="127"/>
        <v>85.502980625931443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IFERROR(__xludf.DUMMYFUNCTION("IMPORTRANGE(""https://docs.google.com/spreadsheets/d/1MeEWN-I1oV_STSDYn1IFDPWt_1FKiwhDph83XaGc0o0/edit?usp=sharing"",""งบพรบ!DI23"")"),286680)</f>
        <v>286680</v>
      </c>
      <c r="M282" s="93">
        <f ca="1">IFERROR(__xludf.DUMMYFUNCTION("IMPORTRANGE(""https://docs.google.com/spreadsheets/d/1MeEWN-I1oV_STSDYn1IFDPWt_1FKiwhDph83XaGc0o0/edit?usp=sharing"",""งบพรบ!DN23"")"),134200)</f>
        <v>134200</v>
      </c>
      <c r="N282" s="93">
        <f ca="1">IFERROR(__xludf.DUMMYFUNCTION("IMPORTRANGE(""https://docs.google.com/spreadsheets/d/1MeEWN-I1oV_STSDYn1IFDPWt_1FKiwhDph83XaGc0o0/edit?usp=sharing"",""งบพรบ!DP23"")"),114745)</f>
        <v>114745</v>
      </c>
      <c r="O282" s="93">
        <f t="shared" ca="1" si="126"/>
        <v>40.025463931910146</v>
      </c>
      <c r="P282" s="93">
        <f t="shared" ca="1" si="127"/>
        <v>85.502980625931443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IFERROR(__xludf.DUMMYFUNCTION("IMPORTRANGE(""https://docs.google.com/spreadsheets/d/1MeEWN-I1oV_STSDYn1IFDPWt_1FKiwhDph83XaGc0o0/edit?usp=sharing"",""งบพรบ!DL23"")"),0)</f>
        <v>0</v>
      </c>
      <c r="M285" s="93">
        <f ca="1">IFERROR(__xludf.DUMMYFUNCTION("IMPORTRANGE(""https://docs.google.com/spreadsheets/d/1MeEWN-I1oV_STSDYn1IFDPWt_1FKiwhDph83XaGc0o0/edit?usp=sharing"",""งบพรบ!DO23"")"),0)</f>
        <v>0</v>
      </c>
      <c r="N285" s="93">
        <f ca="1">IFERROR(__xludf.DUMMYFUNCTION("IMPORTRANGE(""https://docs.google.com/spreadsheets/d/1MeEWN-I1oV_STSDYn1IFDPWt_1FKiwhDph83XaGc0o0/edit?usp=sharing"",""งบพรบ!DQ23"")"),0)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IFERROR(__xludf.DUMMYFUNCTION("IMPORTRANGE(""https://docs.google.com/spreadsheets/d/1QqKyyYR6Q21VydFLVH3TRQUabQu_ym0Zz7PgGX0-kHA/edit?usp=sharing"",""แผน!EC23"")"),800)</f>
        <v>800</v>
      </c>
      <c r="J287" s="215">
        <v>800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IFERROR(__xludf.DUMMYFUNCTION("IMPORTRANGE(""https://docs.google.com/spreadsheets/d/1QqKyyYR6Q21VydFLVH3TRQUabQu_ym0Zz7PgGX0-kHA/edit?usp=sharing"",""แผน!EB23"")"),80)</f>
        <v>80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IFERROR(__xludf.DUMMYFUNCTION("IMPORTRANGE(""https://docs.google.com/spreadsheets/d/1QqKyyYR6Q21VydFLVH3TRQUabQu_ym0Zz7PgGX0-kHA/edit?usp=sharing"",""แผน!EB23"")"),80)</f>
        <v>80</v>
      </c>
      <c r="J290" s="215">
        <v>80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IFERROR(__xludf.DUMMYFUNCTION("IMPORTRANGE(""https://docs.google.com/spreadsheets/d/1QqKyyYR6Q21VydFLVH3TRQUabQu_ym0Zz7PgGX0-kHA/edit?usp=sharing"",""แผน!EB23"")"),80)</f>
        <v>80</v>
      </c>
      <c r="J291" s="215">
        <v>80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IFERROR(__xludf.DUMMYFUNCTION("IMPORTRANGE(""https://docs.google.com/spreadsheets/d/1QqKyyYR6Q21VydFLVH3TRQUabQu_ym0Zz7PgGX0-kHA/edit?usp=sharing"",""แผน!EB23"")"),80)</f>
        <v>80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IFERROR(__xludf.DUMMYFUNCTION("IMPORTRANGE(""https://docs.google.com/spreadsheets/d/1QqKyyYR6Q21VydFLVH3TRQUabQu_ym0Zz7PgGX0-kHA/edit?usp=sharing"",""แผน!EB23"")"),80)</f>
        <v>80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60400</v>
      </c>
      <c r="N298" s="155">
        <f t="shared" ca="1" si="135"/>
        <v>5440</v>
      </c>
      <c r="O298" s="155">
        <f t="shared" ref="O298:O306" ca="1" si="136">IF(L298&gt;0,N298*100/L298,0)</f>
        <v>5.3861386138613865</v>
      </c>
      <c r="P298" s="155">
        <f t="shared" ref="P298:P306" ca="1" si="137">IF(M298&gt;0,N298*100/M298,0)</f>
        <v>9.0066225165562912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101000</v>
      </c>
      <c r="M300" s="93">
        <f t="shared" ca="1" si="138"/>
        <v>60400</v>
      </c>
      <c r="N300" s="93">
        <f t="shared" ca="1" si="138"/>
        <v>5440</v>
      </c>
      <c r="O300" s="93">
        <f t="shared" ca="1" si="136"/>
        <v>5.3861386138613865</v>
      </c>
      <c r="P300" s="93">
        <f t="shared" ca="1" si="137"/>
        <v>9.0066225165562912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60400</v>
      </c>
      <c r="N301" s="466">
        <f t="shared" ca="1" si="139"/>
        <v>5440</v>
      </c>
      <c r="O301" s="466">
        <f t="shared" ca="1" si="136"/>
        <v>5.3861386138613865</v>
      </c>
      <c r="P301" s="466">
        <f t="shared" ca="1" si="137"/>
        <v>9.0066225165562912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IFERROR(__xludf.DUMMYFUNCTION("IMPORTRANGE(""https://docs.google.com/spreadsheets/d/1MeEWN-I1oV_STSDYn1IFDPWt_1FKiwhDph83XaGc0o0/edit?usp=sharing"",""งบพรบ!DS23"")"),101000)</f>
        <v>101000</v>
      </c>
      <c r="M303" s="93">
        <f ca="1">IFERROR(__xludf.DUMMYFUNCTION("IMPORTRANGE(""https://docs.google.com/spreadsheets/d/1MeEWN-I1oV_STSDYn1IFDPWt_1FKiwhDph83XaGc0o0/edit?usp=sharing"",""งบพรบ!DX23"")"),60400)</f>
        <v>60400</v>
      </c>
      <c r="N303" s="93">
        <f ca="1">IFERROR(__xludf.DUMMYFUNCTION("IMPORTRANGE(""https://docs.google.com/spreadsheets/d/1MeEWN-I1oV_STSDYn1IFDPWt_1FKiwhDph83XaGc0o0/edit?usp=sharing"",""งบพรบ!DZ23"")"),5440)</f>
        <v>5440</v>
      </c>
      <c r="O303" s="93">
        <f t="shared" ca="1" si="136"/>
        <v>5.3861386138613865</v>
      </c>
      <c r="P303" s="93">
        <f t="shared" ca="1" si="137"/>
        <v>9.0066225165562912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IFERROR(__xludf.DUMMYFUNCTION("IMPORTRANGE(""https://docs.google.com/spreadsheets/d/1MeEWN-I1oV_STSDYn1IFDPWt_1FKiwhDph83XaGc0o0/edit?usp=sharing"",""งบพรบ!DV23"")"),0)</f>
        <v>0</v>
      </c>
      <c r="M306" s="93">
        <f ca="1">IFERROR(__xludf.DUMMYFUNCTION("IMPORTRANGE(""https://docs.google.com/spreadsheets/d/1MeEWN-I1oV_STSDYn1IFDPWt_1FKiwhDph83XaGc0o0/edit?usp=sharing"",""งบพรบ!DY23"")"),0)</f>
        <v>0</v>
      </c>
      <c r="N306" s="93">
        <f ca="1">IFERROR(__xludf.DUMMYFUNCTION("IMPORTRANGE(""https://docs.google.com/spreadsheets/d/1MeEWN-I1oV_STSDYn1IFDPWt_1FKiwhDph83XaGc0o0/edit?usp=sharing"",""งบพรบ!EA23"")"),0)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IFERROR(__xludf.DUMMYFUNCTION("IMPORTRANGE(""https://docs.google.com/spreadsheets/d/1QqKyyYR6Q21VydFLVH3TRQUabQu_ym0Zz7PgGX0-kHA/edit?usp=sharing"",""แผน!ED23"")"),25)</f>
        <v>25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IFERROR(__xludf.DUMMYFUNCTION("IMPORTRANGE(""https://docs.google.com/spreadsheets/d/1QqKyyYR6Q21VydFLVH3TRQUabQu_ym0Zz7PgGX0-kHA/edit?usp=sharing"",""แผน!ED23"")"),25)</f>
        <v>25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IFERROR(__xludf.DUMMYFUNCTION("IMPORTRANGE(""https://docs.google.com/spreadsheets/d/1QqKyyYR6Q21VydFLVH3TRQUabQu_ym0Zz7PgGX0-kHA/edit?usp=sharing"",""แผน!ED23"")"),25)</f>
        <v>25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IFERROR(__xludf.DUMMYFUNCTION("IMPORTRANGE(""https://docs.google.com/spreadsheets/d/1QqKyyYR6Q21VydFLVH3TRQUabQu_ym0Zz7PgGX0-kHA/edit?usp=sharing"",""แผน!EE23"")"),5)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IFERROR(__xludf.DUMMYFUNCTION("IMPORTRANGE(""https://docs.google.com/spreadsheets/d/1MeEWN-I1oV_STSDYn1IFDPWt_1FKiwhDph83XaGc0o0/edit?usp=sharing"",""งบพรบ!EC23"")"),0)</f>
        <v>0</v>
      </c>
      <c r="M320" s="93">
        <f ca="1">IFERROR(__xludf.DUMMYFUNCTION("IMPORTRANGE(""https://docs.google.com/spreadsheets/d/1MeEWN-I1oV_STSDYn1IFDPWt_1FKiwhDph83XaGc0o0/edit?usp=sharing"",""งบพรบ!EH23"")"),0)</f>
        <v>0</v>
      </c>
      <c r="N320" s="93">
        <f ca="1">IFERROR(__xludf.DUMMYFUNCTION("IMPORTRANGE(""https://docs.google.com/spreadsheets/d/1MeEWN-I1oV_STSDYn1IFDPWt_1FKiwhDph83XaGc0o0/edit?usp=sharing"",""งบพรบ!EJ23"")"),0)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IFERROR(__xludf.DUMMYFUNCTION("IMPORTRANGE(""https://docs.google.com/spreadsheets/d/1MeEWN-I1oV_STSDYn1IFDPWt_1FKiwhDph83XaGc0o0/edit?usp=sharing"",""งบพรบ!EF23"")"),0)</f>
        <v>0</v>
      </c>
      <c r="M323" s="93">
        <f ca="1">IFERROR(__xludf.DUMMYFUNCTION("IMPORTRANGE(""https://docs.google.com/spreadsheets/d/1MeEWN-I1oV_STSDYn1IFDPWt_1FKiwhDph83XaGc0o0/edit?usp=sharing"",""งบพรบ!EI23"")"),0)</f>
        <v>0</v>
      </c>
      <c r="N323" s="93">
        <f ca="1">IFERROR(__xludf.DUMMYFUNCTION("IMPORTRANGE(""https://docs.google.com/spreadsheets/d/1MeEWN-I1oV_STSDYn1IFDPWt_1FKiwhDph83XaGc0o0/edit?usp=sharing"",""งบพรบ!EK23"")"),0)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IFERROR(__xludf.DUMMYFUNCTION("IMPORTRANGE(""https://docs.google.com/spreadsheets/d/1QqKyyYR6Q21VydFLVH3TRQUabQu_ym0Zz7PgGX0-kHA/edit?usp=sharing"",""แผน!EF23"")"),0)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IFERROR(__xludf.DUMMYFUNCTION("IMPORTRANGE(""https://docs.google.com/spreadsheets/d/1QqKyyYR6Q21VydFLVH3TRQUabQu_ym0Zz7PgGX0-kHA/edit?usp=sharing"",""แผน!EG23"")"),7600)</f>
        <v>7600</v>
      </c>
      <c r="J327" s="413">
        <f ca="1">J338+J341+J342+J343</f>
        <v>3983</v>
      </c>
      <c r="K327" s="414">
        <f ca="1">IF(I327&gt;0,J327*100/I327,0)</f>
        <v>52.407894736842103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91000</v>
      </c>
      <c r="N328" s="155">
        <f t="shared" ca="1" si="149"/>
        <v>59220</v>
      </c>
      <c r="O328" s="155">
        <f t="shared" ref="O328:O336" ca="1" si="150">IF(L328&gt;0,N328*100/L328,0)</f>
        <v>32.53846153846154</v>
      </c>
      <c r="P328" s="155">
        <f t="shared" ref="P328:P336" ca="1" si="151">IF(M328&gt;0,N328*100/M328,0)</f>
        <v>65.07692307692308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182000</v>
      </c>
      <c r="M330" s="93">
        <f t="shared" ca="1" si="152"/>
        <v>91000</v>
      </c>
      <c r="N330" s="93">
        <f t="shared" ca="1" si="152"/>
        <v>59220</v>
      </c>
      <c r="O330" s="93">
        <f t="shared" ca="1" si="150"/>
        <v>32.53846153846154</v>
      </c>
      <c r="P330" s="93">
        <f t="shared" ca="1" si="151"/>
        <v>65.07692307692308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91000</v>
      </c>
      <c r="N331" s="466">
        <f t="shared" ca="1" si="153"/>
        <v>59220</v>
      </c>
      <c r="O331" s="466">
        <f t="shared" ca="1" si="150"/>
        <v>32.53846153846154</v>
      </c>
      <c r="P331" s="466">
        <f t="shared" ca="1" si="151"/>
        <v>65.07692307692308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IFERROR(__xludf.DUMMYFUNCTION("IMPORTRANGE(""https://docs.google.com/spreadsheets/d/1MeEWN-I1oV_STSDYn1IFDPWt_1FKiwhDph83XaGc0o0/edit?usp=sharing"",""งบพรบ!EM23"")"),182000)</f>
        <v>182000</v>
      </c>
      <c r="M333" s="93">
        <f ca="1">IFERROR(__xludf.DUMMYFUNCTION("IMPORTRANGE(""https://docs.google.com/spreadsheets/d/1MeEWN-I1oV_STSDYn1IFDPWt_1FKiwhDph83XaGc0o0/edit?usp=sharing"",""งบพรบ!ER23"")"),91000)</f>
        <v>91000</v>
      </c>
      <c r="N333" s="93">
        <f ca="1">IFERROR(__xludf.DUMMYFUNCTION("IMPORTRANGE(""https://docs.google.com/spreadsheets/d/1MeEWN-I1oV_STSDYn1IFDPWt_1FKiwhDph83XaGc0o0/edit?usp=sharing"",""งบพรบ!ET23"")"),59220)</f>
        <v>59220</v>
      </c>
      <c r="O333" s="93">
        <f t="shared" ca="1" si="150"/>
        <v>32.53846153846154</v>
      </c>
      <c r="P333" s="93">
        <f t="shared" ca="1" si="151"/>
        <v>65.07692307692308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IFERROR(__xludf.DUMMYFUNCTION("IMPORTRANGE(""https://docs.google.com/spreadsheets/d/1MeEWN-I1oV_STSDYn1IFDPWt_1FKiwhDph83XaGc0o0/edit?usp=sharing"",""งบพรบ!EP23"")"),0)</f>
        <v>0</v>
      </c>
      <c r="M336" s="93">
        <f ca="1">IFERROR(__xludf.DUMMYFUNCTION("IMPORTRANGE(""https://docs.google.com/spreadsheets/d/1MeEWN-I1oV_STSDYn1IFDPWt_1FKiwhDph83XaGc0o0/edit?usp=sharing"",""งบพรบ!ES23"")"),0)</f>
        <v>0</v>
      </c>
      <c r="N336" s="93">
        <f ca="1">IFERROR(__xludf.DUMMYFUNCTION("IMPORTRANGE(""https://docs.google.com/spreadsheets/d/1MeEWN-I1oV_STSDYn1IFDPWt_1FKiwhDph83XaGc0o0/edit?usp=sharing"",""งบพรบ!EU23"")"),0)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IFERROR(__xludf.DUMMYFUNCTION("IMPORTRANGE(""https://docs.google.com/spreadsheets/d/1QqKyyYR6Q21VydFLVH3TRQUabQu_ym0Zz7PgGX0-kHA/edit?usp=sharing"",""แผน!EG23"")"),7600)</f>
        <v>7600</v>
      </c>
      <c r="J338" s="270">
        <f ca="1">IFERROR(__xludf.DUMMYFUNCTION("IMPORTRANGE(""https://docs.google.com/spreadsheets/d/1kVcqe37tkHyjCSG3S0O1AXqVkqjo8mSIZil3BcpIysc/edit?usp=sharing"",""ศูนย์!D23"")"),2983)</f>
        <v>2983</v>
      </c>
      <c r="K338" s="466">
        <f ca="1">IF(I338&gt;0,J338*100/I338,0)</f>
        <v>39.25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IFERROR(__xludf.DUMMYFUNCTION("IMPORTRANGE(""https://docs.google.com/spreadsheets/d/1QqKyyYR6Q21VydFLVH3TRQUabQu_ym0Zz7PgGX0-kHA/edit?usp=sharing"",""แผน!EH23"")"),7)</f>
        <v>7</v>
      </c>
      <c r="J340" s="270">
        <f ca="1">IFERROR(__xludf.DUMMYFUNCTION("IMPORTRANGE(""https://docs.google.com/spreadsheets/d/1kVcqe37tkHyjCSG3S0O1AXqVkqjo8mSIZil3BcpIysc/edit?usp=sharing"",""ศูนย์!E23"")"),4)</f>
        <v>4</v>
      </c>
      <c r="K340" s="466">
        <f ca="1">IF(I340&gt;0,J340*100/I340,0)</f>
        <v>57.142857142857146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IFERROR(__xludf.DUMMYFUNCTION("IMPORTRANGE(""https://docs.google.com/spreadsheets/d/1kVcqe37tkHyjCSG3S0O1AXqVkqjo8mSIZil3BcpIysc/edit?usp=sharing"",""ศูนย์!F23"")"),694)</f>
        <v>694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IFERROR(__xludf.DUMMYFUNCTION("IMPORTRANGE(""https://docs.google.com/spreadsheets/d/1kVcqe37tkHyjCSG3S0O1AXqVkqjo8mSIZil3BcpIysc/edit?usp=sharing"",""ศูนย์!G23"")"),0)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IFERROR(__xludf.DUMMYFUNCTION("IMPORTRANGE(""https://docs.google.com/spreadsheets/d/1kVcqe37tkHyjCSG3S0O1AXqVkqjo8mSIZil3BcpIysc/edit?usp=sharing"",""ศูนย์!H23"")"),306)</f>
        <v>306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987190</v>
      </c>
      <c r="M345" s="155">
        <f t="shared" ca="1" si="155"/>
        <v>561400</v>
      </c>
      <c r="N345" s="155">
        <f t="shared" ca="1" si="155"/>
        <v>337992.04000000004</v>
      </c>
      <c r="O345" s="155">
        <f t="shared" ref="O345:O353" ca="1" si="156">IF(L345&gt;0,N345*100/L345,0)</f>
        <v>34.237790091066564</v>
      </c>
      <c r="P345" s="155">
        <f t="shared" ref="P345:P353" ca="1" si="157">IF(M345&gt;0,N345*100/M345,0)</f>
        <v>60.205208407552547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987190</v>
      </c>
      <c r="M347" s="93">
        <f t="shared" ca="1" si="158"/>
        <v>561400</v>
      </c>
      <c r="N347" s="93">
        <f t="shared" ca="1" si="158"/>
        <v>337992.04000000004</v>
      </c>
      <c r="O347" s="93">
        <f t="shared" ca="1" si="156"/>
        <v>34.237790091066564</v>
      </c>
      <c r="P347" s="93">
        <f t="shared" ca="1" si="157"/>
        <v>60.205208407552547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851590</v>
      </c>
      <c r="M348" s="466">
        <f t="shared" ca="1" si="159"/>
        <v>425800</v>
      </c>
      <c r="N348" s="466">
        <f t="shared" ca="1" si="159"/>
        <v>202392.04</v>
      </c>
      <c r="O348" s="466">
        <f t="shared" ca="1" si="156"/>
        <v>23.76637114104205</v>
      </c>
      <c r="P348" s="466">
        <f t="shared" ca="1" si="157"/>
        <v>47.53218412400188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IFERROR(__xludf.DUMMYFUNCTION("IMPORTRANGE(""https://docs.google.com/spreadsheets/d/1MeEWN-I1oV_STSDYn1IFDPWt_1FKiwhDph83XaGc0o0/edit?usp=sharing"",""งบพรบ!EW23"")"),851590)</f>
        <v>851590</v>
      </c>
      <c r="M350" s="93">
        <f ca="1">IFERROR(__xludf.DUMMYFUNCTION("IMPORTRANGE(""https://docs.google.com/spreadsheets/d/1MeEWN-I1oV_STSDYn1IFDPWt_1FKiwhDph83XaGc0o0/edit?usp=sharing"",""งบพรบ!FB23"")"),425800)</f>
        <v>425800</v>
      </c>
      <c r="N350" s="93">
        <f ca="1">IFERROR(__xludf.DUMMYFUNCTION("IMPORTRANGE(""https://docs.google.com/spreadsheets/d/1MeEWN-I1oV_STSDYn1IFDPWt_1FKiwhDph83XaGc0o0/edit?usp=sharing"",""งบพรบ!FD23"")"),202392.04)</f>
        <v>202392.04</v>
      </c>
      <c r="O350" s="93">
        <f t="shared" ca="1" si="156"/>
        <v>23.76637114104205</v>
      </c>
      <c r="P350" s="93">
        <f t="shared" ca="1" si="157"/>
        <v>47.53218412400188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135600</v>
      </c>
      <c r="M351" s="466">
        <f t="shared" ca="1" si="160"/>
        <v>135600</v>
      </c>
      <c r="N351" s="466">
        <f t="shared" ca="1" si="160"/>
        <v>135600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IFERROR(__xludf.DUMMYFUNCTION("IMPORTRANGE(""https://docs.google.com/spreadsheets/d/1MeEWN-I1oV_STSDYn1IFDPWt_1FKiwhDph83XaGc0o0/edit?usp=sharing"",""งบพรบ!EZ23"")"),135600)</f>
        <v>135600</v>
      </c>
      <c r="M353" s="93">
        <f ca="1">IFERROR(__xludf.DUMMYFUNCTION("IMPORTRANGE(""https://docs.google.com/spreadsheets/d/1MeEWN-I1oV_STSDYn1IFDPWt_1FKiwhDph83XaGc0o0/edit?usp=sharing"",""งบพรบ!FC23"")"),135600)</f>
        <v>135600</v>
      </c>
      <c r="N353" s="93">
        <f ca="1">IFERROR(__xludf.DUMMYFUNCTION("IMPORTRANGE(""https://docs.google.com/spreadsheets/d/1MeEWN-I1oV_STSDYn1IFDPWt_1FKiwhDph83XaGc0o0/edit?usp=sharing"",""งบพรบ!FE23"")"),135600)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IFERROR(__xludf.DUMMYFUNCTION("IMPORTRANGE(""https://docs.google.com/spreadsheets/d/1QqKyyYR6Q21VydFLVH3TRQUabQu_ym0Zz7PgGX0-kHA/edit?usp=sharing"",""แผน!EP23"")"),685)</f>
        <v>685</v>
      </c>
      <c r="J355" s="433">
        <f ca="1">J362</f>
        <v>28</v>
      </c>
      <c r="K355" s="434">
        <f ca="1">IF(I355&gt;0,J355*100/I355,0)</f>
        <v>4.0875912408759127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IFERROR(__xludf.DUMMYFUNCTION("IMPORTRANGE(""https://docs.google.com/spreadsheets/d/1XWAQStnk-4SwqDmLtmXYiTMKHgktTP8We1SCoS47DrQ/edit?usp=sharing"",""จัดที่ดิน!W23"")"),14)</f>
        <v>14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IFERROR(__xludf.DUMMYFUNCTION("IMPORTRANGE(""https://docs.google.com/spreadsheets/d/1QqKyyYR6Q21VydFLVH3TRQUabQu_ym0Zz7PgGX0-kHA/edit?usp=sharing"",""แผน!EO23"")"),5000)</f>
        <v>5000</v>
      </c>
      <c r="J359" s="270">
        <f ca="1">IFERROR(__xludf.DUMMYFUNCTION("IMPORTRANGE(""https://docs.google.com/spreadsheets/d/1XWAQStnk-4SwqDmLtmXYiTMKHgktTP8We1SCoS47DrQ/edit?usp=sharing"",""จัดที่ดิน!X23"")"),223.64)</f>
        <v>223.64</v>
      </c>
      <c r="K359" s="466">
        <f t="shared" ca="1" si="161"/>
        <v>4.4728000000000003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IFERROR(__xludf.DUMMYFUNCTION("IMPORTRANGE(""https://docs.google.com/spreadsheets/d/1QqKyyYR6Q21VydFLVH3TRQUabQu_ym0Zz7PgGX0-kHA/edit?usp=sharing"",""แผน!EP23"")"),685)</f>
        <v>685</v>
      </c>
      <c r="J360" s="270">
        <f ca="1">IFERROR(__xludf.DUMMYFUNCTION("IMPORTRANGE(""https://docs.google.com/spreadsheets/d/1XWAQStnk-4SwqDmLtmXYiTMKHgktTP8We1SCoS47DrQ/edit?usp=sharing"",""จัดที่ดิน!Y23"")"),55)</f>
        <v>55</v>
      </c>
      <c r="K360" s="466">
        <f t="shared" ca="1" si="161"/>
        <v>8.0291970802919703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IFERROR(__xludf.DUMMYFUNCTION("IMPORTRANGE(""https://docs.google.com/spreadsheets/d/1XWAQStnk-4SwqDmLtmXYiTMKHgktTP8We1SCoS47DrQ/edit?usp=sharing"",""จัดที่ดิน!Z23"")"),919.79)</f>
        <v>919.79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IFERROR(__xludf.DUMMYFUNCTION("IMPORTRANGE(""https://docs.google.com/spreadsheets/d/1QqKyyYR6Q21VydFLVH3TRQUabQu_ym0Zz7PgGX0-kHA/edit?usp=sharing"",""แผน!EP23"")"),685)</f>
        <v>685</v>
      </c>
      <c r="J362" s="270">
        <f ca="1">IFERROR(__xludf.DUMMYFUNCTION("IMPORTRANGE(""https://docs.google.com/spreadsheets/d/1XWAQStnk-4SwqDmLtmXYiTMKHgktTP8We1SCoS47DrQ/edit?usp=sharing"",""จัดที่ดิน!AA23"")"),28)</f>
        <v>28</v>
      </c>
      <c r="K362" s="466">
        <f t="shared" ca="1" si="161"/>
        <v>4.0875912408759127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IFERROR(__xludf.DUMMYFUNCTION("IMPORTRANGE(""https://docs.google.com/spreadsheets/d/1XWAQStnk-4SwqDmLtmXYiTMKHgktTP8We1SCoS47DrQ/edit?usp=sharing"",""จัดที่ดิน!AB23"")"),524.77)</f>
        <v>524.77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1285</v>
      </c>
      <c r="J364" s="447">
        <f t="shared" ca="1" si="162"/>
        <v>191</v>
      </c>
      <c r="K364" s="448">
        <f t="shared" ca="1" si="161"/>
        <v>14.863813229571985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IFERROR(__xludf.DUMMYFUNCTION("IMPORTRANGE(""https://docs.google.com/spreadsheets/d/1QqKyyYR6Q21VydFLVH3TRQUabQu_ym0Zz7PgGX0-kHA/edit?usp=sharing"",""แผน!EJ23"")"),100)</f>
        <v>100</v>
      </c>
      <c r="J365" s="459">
        <f ca="1">J372</f>
        <v>28</v>
      </c>
      <c r="K365" s="460">
        <f t="shared" ca="1" si="161"/>
        <v>28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IFERROR(__xludf.DUMMYFUNCTION("IMPORTRANGE(""https://docs.google.com/spreadsheets/d/1XWAQStnk-4SwqDmLtmXYiTMKHgktTP8We1SCoS47DrQ/edit?usp=sharing"",""จัดที่ดิน!E23"")"),8)</f>
        <v>8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IFERROR(__xludf.DUMMYFUNCTION("IMPORTRANGE(""https://docs.google.com/spreadsheets/d/1QqKyyYR6Q21VydFLVH3TRQUabQu_ym0Zz7PgGX0-kHA/edit?usp=sharing"",""แผน!EI23"")"),1000)</f>
        <v>1000</v>
      </c>
      <c r="J369" s="270">
        <f ca="1">IFERROR(__xludf.DUMMYFUNCTION("IMPORTRANGE(""https://docs.google.com/spreadsheets/d/1XWAQStnk-4SwqDmLtmXYiTMKHgktTP8We1SCoS47DrQ/edit?usp=sharing"",""จัดที่ดิน!F23"")"),121.03)</f>
        <v>121.03</v>
      </c>
      <c r="K369" s="466">
        <f t="shared" ca="1" si="163"/>
        <v>12.103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IFERROR(__xludf.DUMMYFUNCTION("IMPORTRANGE(""https://docs.google.com/spreadsheets/d/1QqKyyYR6Q21VydFLVH3TRQUabQu_ym0Zz7PgGX0-kHA/edit?usp=sharing"",""แผน!EJ23"")"),100)</f>
        <v>100</v>
      </c>
      <c r="J370" s="270">
        <f ca="1">IFERROR(__xludf.DUMMYFUNCTION("IMPORTRANGE(""https://docs.google.com/spreadsheets/d/1XWAQStnk-4SwqDmLtmXYiTMKHgktTP8We1SCoS47DrQ/edit?usp=sharing"",""จัดที่ดิน!G23"")"),49)</f>
        <v>49</v>
      </c>
      <c r="K370" s="466">
        <f t="shared" ca="1" si="163"/>
        <v>49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IFERROR(__xludf.DUMMYFUNCTION("IMPORTRANGE(""https://docs.google.com/spreadsheets/d/1XWAQStnk-4SwqDmLtmXYiTMKHgktTP8We1SCoS47DrQ/edit?usp=sharing"",""จัดที่ดิน!H23"")"),817.18)</f>
        <v>817.18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IFERROR(__xludf.DUMMYFUNCTION("IMPORTRANGE(""https://docs.google.com/spreadsheets/d/1QqKyyYR6Q21VydFLVH3TRQUabQu_ym0Zz7PgGX0-kHA/edit?usp=sharing"",""แผน!EJ23"")"),100)</f>
        <v>100</v>
      </c>
      <c r="J372" s="270">
        <f ca="1">IFERROR(__xludf.DUMMYFUNCTION("IMPORTRANGE(""https://docs.google.com/spreadsheets/d/1XWAQStnk-4SwqDmLtmXYiTMKHgktTP8We1SCoS47DrQ/edit?usp=sharing"",""จัดที่ดิน!I23"")"),28)</f>
        <v>28</v>
      </c>
      <c r="K372" s="466">
        <f t="shared" ca="1" si="163"/>
        <v>28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IFERROR(__xludf.DUMMYFUNCTION("IMPORTRANGE(""https://docs.google.com/spreadsheets/d/1XWAQStnk-4SwqDmLtmXYiTMKHgktTP8We1SCoS47DrQ/edit?usp=sharing"",""จัดที่ดิน!J23"")"),524.77)</f>
        <v>524.77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IFERROR(__xludf.DUMMYFUNCTION("IMPORTRANGE(""https://docs.google.com/spreadsheets/d/1QqKyyYR6Q21VydFLVH3TRQUabQu_ym0Zz7PgGX0-kHA/edit?usp=sharing"",""แผน!EU23"")"),1185)</f>
        <v>1185</v>
      </c>
      <c r="J374" s="459">
        <f ca="1">J381</f>
        <v>163</v>
      </c>
      <c r="K374" s="460">
        <f t="shared" ca="1" si="163"/>
        <v>13.755274261603375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IFERROR(__xludf.DUMMYFUNCTION("IMPORTRANGE(""https://docs.google.com/spreadsheets/d/1XWAQStnk-4SwqDmLtmXYiTMKHgktTP8We1SCoS47DrQ/edit?usp=sharing"",""จัดที่ดิน!AH23"")"),6)</f>
        <v>6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IFERROR(__xludf.DUMMYFUNCTION("IMPORTRANGE(""https://docs.google.com/spreadsheets/d/1QqKyyYR6Q21VydFLVH3TRQUabQu_ym0Zz7PgGX0-kHA/edit?usp=sharing"",""แผน!ET23"")"),4000)</f>
        <v>4000</v>
      </c>
      <c r="J378" s="270">
        <f ca="1">IFERROR(__xludf.DUMMYFUNCTION("IMPORTRANGE(""https://docs.google.com/spreadsheets/d/1XWAQStnk-4SwqDmLtmXYiTMKHgktTP8We1SCoS47DrQ/edit?usp=sharing"",""จัดที่ดิน!AI23"")"),102.61)</f>
        <v>102.61</v>
      </c>
      <c r="K378" s="466">
        <f t="shared" ca="1" si="164"/>
        <v>2.5652499999999998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IFERROR(__xludf.DUMMYFUNCTION("IMPORTRANGE(""https://docs.google.com/spreadsheets/d/1QqKyyYR6Q21VydFLVH3TRQUabQu_ym0Zz7PgGX0-kHA/edit?usp=sharing"",""แผน!EU23"")"),1185)</f>
        <v>1185</v>
      </c>
      <c r="J379" s="270">
        <f ca="1">IFERROR(__xludf.DUMMYFUNCTION("IMPORTRANGE(""https://docs.google.com/spreadsheets/d/1XWAQStnk-4SwqDmLtmXYiTMKHgktTP8We1SCoS47DrQ/edit?usp=sharing"",""จัดที่ดิน!AJ23"")"),169)</f>
        <v>169</v>
      </c>
      <c r="K379" s="466">
        <f t="shared" ca="1" si="164"/>
        <v>14.261603375527427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IFERROR(__xludf.DUMMYFUNCTION("IMPORTRANGE(""https://docs.google.com/spreadsheets/d/1XWAQStnk-4SwqDmLtmXYiTMKHgktTP8We1SCoS47DrQ/edit?usp=sharing"",""จัดที่ดิน!AK23"")"),2983.78)</f>
        <v>2983.78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IFERROR(__xludf.DUMMYFUNCTION("IMPORTRANGE(""https://docs.google.com/spreadsheets/d/1QqKyyYR6Q21VydFLVH3TRQUabQu_ym0Zz7PgGX0-kHA/edit?usp=sharing"",""แผน!EU23"")"),1185)</f>
        <v>1185</v>
      </c>
      <c r="J381" s="270">
        <f ca="1">IFERROR(__xludf.DUMMYFUNCTION("IMPORTRANGE(""https://docs.google.com/spreadsheets/d/1XWAQStnk-4SwqDmLtmXYiTMKHgktTP8We1SCoS47DrQ/edit?usp=sharing"",""จัดที่ดิน!AL23"")"),163)</f>
        <v>163</v>
      </c>
      <c r="K381" s="466">
        <f t="shared" ca="1" si="164"/>
        <v>13.755274261603375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IFERROR(__xludf.DUMMYFUNCTION("IMPORTRANGE(""https://docs.google.com/spreadsheets/d/1XWAQStnk-4SwqDmLtmXYiTMKHgktTP8We1SCoS47DrQ/edit?usp=sharing"",""จัดที่ดิน!AM23"")"),2881.16)</f>
        <v>2881.16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IFERROR(__xludf.DUMMYFUNCTION("IMPORTRANGE(""https://docs.google.com/spreadsheets/d/1QqKyyYR6Q21VydFLVH3TRQUabQu_ym0Zz7PgGX0-kHA/edit?usp=sharing"",""แผน!EW23"")"),10)</f>
        <v>10</v>
      </c>
      <c r="J385" s="469">
        <f ca="1">IFERROR(__xludf.DUMMYFUNCTION("IMPORTRANGE(""https://docs.google.com/spreadsheets/d/1XWAQStnk-4SwqDmLtmXYiTMKHgktTP8We1SCoS47DrQ/edit?usp=sharing"",""จัดที่ดิน!AP23"")"),0)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IFERROR(__xludf.DUMMYFUNCTION("IMPORTRANGE(""https://docs.google.com/spreadsheets/d/1MeEWN-I1oV_STSDYn1IFDPWt_1FKiwhDph83XaGc0o0/edit?usp=sharing"",""งบพรบ!FG23"")"),0)</f>
        <v>0</v>
      </c>
      <c r="M394" s="93">
        <f ca="1">IFERROR(__xludf.DUMMYFUNCTION("IMPORTRANGE(""https://docs.google.com/spreadsheets/d/1MeEWN-I1oV_STSDYn1IFDPWt_1FKiwhDph83XaGc0o0/edit?usp=sharing"",""งบพรบ!FL23"")"),0)</f>
        <v>0</v>
      </c>
      <c r="N394" s="93">
        <f ca="1">IFERROR(__xludf.DUMMYFUNCTION("IMPORTRANGE(""https://docs.google.com/spreadsheets/d/1MeEWN-I1oV_STSDYn1IFDPWt_1FKiwhDph83XaGc0o0/edit?usp=sharing"",""งบพรบ!FN23"")"),0)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IFERROR(__xludf.DUMMYFUNCTION("IMPORTRANGE(""https://docs.google.com/spreadsheets/d/1MeEWN-I1oV_STSDYn1IFDPWt_1FKiwhDph83XaGc0o0/edit?usp=sharing"",""งบพรบ!FJ23"")"),0)</f>
        <v>0</v>
      </c>
      <c r="M397" s="93">
        <f ca="1">IFERROR(__xludf.DUMMYFUNCTION("IMPORTRANGE(""https://docs.google.com/spreadsheets/d/1MeEWN-I1oV_STSDYn1IFDPWt_1FKiwhDph83XaGc0o0/edit?usp=sharing"",""งบพรบ!FM23"")"),0)</f>
        <v>0</v>
      </c>
      <c r="N397" s="93">
        <f ca="1">IFERROR(__xludf.DUMMYFUNCTION("IMPORTRANGE(""https://docs.google.com/spreadsheets/d/1MeEWN-I1oV_STSDYn1IFDPWt_1FKiwhDph83XaGc0o0/edit?usp=sharing"",""งบพรบ!FO23"")"),0)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IFERROR(__xludf.DUMMYFUNCTION("IMPORTRANGE(""https://docs.google.com/spreadsheets/d/1MeEWN-I1oV_STSDYn1IFDPWt_1FKiwhDph83XaGc0o0/edit?usp=sharing"",""งบพรบ!FQ23"")"),0)</f>
        <v>0</v>
      </c>
      <c r="M407" s="93">
        <f ca="1">IFERROR(__xludf.DUMMYFUNCTION("IMPORTRANGE(""https://docs.google.com/spreadsheets/d/1MeEWN-I1oV_STSDYn1IFDPWt_1FKiwhDph83XaGc0o0/edit?usp=sharing"",""งบพรบ!FV23"")"),0)</f>
        <v>0</v>
      </c>
      <c r="N407" s="93">
        <f ca="1">IFERROR(__xludf.DUMMYFUNCTION("IMPORTRANGE(""https://docs.google.com/spreadsheets/d/1MeEWN-I1oV_STSDYn1IFDPWt_1FKiwhDph83XaGc0o0/edit?usp=sharing"",""งบพรบ!FX23"")"),0)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IFERROR(__xludf.DUMMYFUNCTION("IMPORTRANGE(""https://docs.google.com/spreadsheets/d/1MeEWN-I1oV_STSDYn1IFDPWt_1FKiwhDph83XaGc0o0/edit?usp=sharing"",""งบพรบ!FT23"")"),0)</f>
        <v>0</v>
      </c>
      <c r="M410" s="93">
        <f ca="1">IFERROR(__xludf.DUMMYFUNCTION("IMPORTRANGE(""https://docs.google.com/spreadsheets/d/1MeEWN-I1oV_STSDYn1IFDPWt_1FKiwhDph83XaGc0o0/edit?usp=sharing"",""งบพรบ!FW23"")"),0)</f>
        <v>0</v>
      </c>
      <c r="N410" s="93">
        <f ca="1">IFERROR(__xludf.DUMMYFUNCTION("IMPORTRANGE(""https://docs.google.com/spreadsheets/d/1MeEWN-I1oV_STSDYn1IFDPWt_1FKiwhDph83XaGc0o0/edit?usp=sharing"",""งบพรบ!FY23"")"),0)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2851363</v>
      </c>
      <c r="M414" s="517">
        <f t="shared" si="181"/>
        <v>0</v>
      </c>
      <c r="N414" s="517">
        <f t="shared" si="181"/>
        <v>581852.65</v>
      </c>
      <c r="O414" s="517">
        <f ca="1">IF(L414&gt;0,N414*100/L414,0)</f>
        <v>20.406123317164457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100960</v>
      </c>
      <c r="M419" s="155">
        <f t="shared" si="184"/>
        <v>0</v>
      </c>
      <c r="N419" s="155">
        <f t="shared" si="184"/>
        <v>75862.5</v>
      </c>
      <c r="O419" s="155">
        <f t="shared" ref="O419:O424" ca="1" si="185">IF(L419&gt;0,N419*100/L419,0)</f>
        <v>75.141145007923924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100960</v>
      </c>
      <c r="M421" s="93">
        <f t="shared" si="187"/>
        <v>0</v>
      </c>
      <c r="N421" s="93">
        <f t="shared" si="187"/>
        <v>75862.5</v>
      </c>
      <c r="O421" s="93">
        <f t="shared" ca="1" si="185"/>
        <v>75.141145007923924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100960</v>
      </c>
      <c r="M422" s="466">
        <f t="shared" si="188"/>
        <v>0</v>
      </c>
      <c r="N422" s="466">
        <f t="shared" si="188"/>
        <v>75862.5</v>
      </c>
      <c r="O422" s="466">
        <f t="shared" ca="1" si="185"/>
        <v>75.141145007923924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IFERROR(__xludf.DUMMYFUNCTION("IMPORTRANGE(""https://docs.google.com/spreadsheets/d/1QqKyyYR6Q21VydFLVH3TRQUabQu_ym0Zz7PgGX0-kHA/edit?usp=sharing"",""แผน!EY23"")"),100960)</f>
        <v>100960</v>
      </c>
      <c r="M424" s="93">
        <v>0</v>
      </c>
      <c r="N424" s="93">
        <f>N425+N426+N427+N428</f>
        <v>75862.5</v>
      </c>
      <c r="O424" s="93">
        <f t="shared" ca="1" si="185"/>
        <v>75.141145007923924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72187.5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3675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1</v>
      </c>
      <c r="J434" s="647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IFERROR(__xludf.DUMMYFUNCTION("IMPORTRANGE(""https://docs.google.com/spreadsheets/d/1QqKyyYR6Q21VydFLVH3TRQUabQu_ym0Zz7PgGX0-kHA/edit?usp=sharing"",""แผน!FC23"")"),20)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IFERROR(__xludf.DUMMYFUNCTION("IMPORTRANGE(""https://docs.google.com/spreadsheets/d/1QqKyyYR6Q21VydFLVH3TRQUabQu_ym0Zz7PgGX0-kHA/edit?usp=sharing"",""แผน!FD23"")"),0)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IFERROR(__xludf.DUMMYFUNCTION("IMPORTRANGE(""https://docs.google.com/spreadsheets/d/1QqKyyYR6Q21VydFLVH3TRQUabQu_ym0Zz7PgGX0-kHA/edit?usp=sharing"",""แผน!FE23"")"),0)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IFERROR(__xludf.DUMMYFUNCTION("IMPORTRANGE(""https://docs.google.com/spreadsheets/d/1QqKyyYR6Q21VydFLVH3TRQUabQu_ym0Zz7PgGX0-kHA/edit?usp=sharing"",""แผน!FF23"")"),20)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IFERROR(__xludf.DUMMYFUNCTION("IMPORTRANGE(""https://docs.google.com/spreadsheets/d/1QqKyyYR6Q21VydFLVH3TRQUabQu_ym0Zz7PgGX0-kHA/edit?usp=sharing"",""แผน!FG23"")"),1)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IFERROR(__xludf.DUMMYFUNCTION("IMPORTRANGE(""https://docs.google.com/spreadsheets/d/1QqKyyYR6Q21VydFLVH3TRQUabQu_ym0Zz7PgGX0-kHA/edit?usp=sharing"",""แผน!FH23"")"),0)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100</v>
      </c>
      <c r="J442" s="555">
        <f t="shared" si="195"/>
        <v>100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475</v>
      </c>
      <c r="J443" s="533">
        <f t="shared" si="196"/>
        <v>475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840780</v>
      </c>
      <c r="M444" s="195">
        <f t="shared" si="197"/>
        <v>0</v>
      </c>
      <c r="N444" s="195">
        <f t="shared" si="197"/>
        <v>167910</v>
      </c>
      <c r="O444" s="195">
        <f t="shared" ref="O444:O449" ca="1" si="198">IF(L444&gt;0,N444*100/L444,0)</f>
        <v>19.970741454363804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840780</v>
      </c>
      <c r="M446" s="93">
        <f t="shared" si="200"/>
        <v>0</v>
      </c>
      <c r="N446" s="93">
        <f t="shared" si="200"/>
        <v>167910</v>
      </c>
      <c r="O446" s="93">
        <f t="shared" ca="1" si="198"/>
        <v>19.970741454363804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840780</v>
      </c>
      <c r="M447" s="466">
        <f t="shared" si="201"/>
        <v>0</v>
      </c>
      <c r="N447" s="466">
        <f t="shared" si="201"/>
        <v>167910</v>
      </c>
      <c r="O447" s="466">
        <f t="shared" ca="1" si="198"/>
        <v>19.970741454363804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IFERROR(__xludf.DUMMYFUNCTION("IMPORTRANGE(""https://docs.google.com/spreadsheets/d/1QqKyyYR6Q21VydFLVH3TRQUabQu_ym0Zz7PgGX0-kHA/edit?usp=sharing"",""แผน!FJ23"")"),840780)</f>
        <v>840780</v>
      </c>
      <c r="M449" s="93">
        <v>0</v>
      </c>
      <c r="N449" s="93">
        <f>N450+N451+N452+N453</f>
        <v>167910</v>
      </c>
      <c r="O449" s="93">
        <f t="shared" ca="1" si="198"/>
        <v>19.970741454363804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125660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39000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3250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IFERROR(__xludf.DUMMYFUNCTION("IMPORTRANGE(""https://docs.google.com/spreadsheets/d/1QqKyyYR6Q21VydFLVH3TRQUabQu_ym0Zz7PgGX0-kHA/edit?usp=sharing"",""แผน!FN23"")"),100)</f>
        <v>100</v>
      </c>
      <c r="J460" s="215">
        <v>100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IFERROR(__xludf.DUMMYFUNCTION("IMPORTRANGE(""https://docs.google.com/spreadsheets/d/1QqKyyYR6Q21VydFLVH3TRQUabQu_ym0Zz7PgGX0-kHA/edit?usp=sharing"",""แผน!FO23"")"),475)</f>
        <v>475</v>
      </c>
      <c r="J462" s="215">
        <v>475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IFERROR(__xludf.DUMMYFUNCTION("IMPORTRANGE(""https://docs.google.com/spreadsheets/d/1QqKyyYR6Q21VydFLVH3TRQUabQu_ym0Zz7PgGX0-kHA/edit?usp=sharing"",""แผน!FO23"")"),475)</f>
        <v>475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IFERROR(__xludf.DUMMYFUNCTION("IMPORTRANGE(""https://docs.google.com/spreadsheets/d/1QqKyyYR6Q21VydFLVH3TRQUabQu_ym0Zz7PgGX0-kHA/edit?usp=sharing"",""แผน!FN23"")"),100)</f>
        <v>100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IFERROR(__xludf.DUMMYFUNCTION("IMPORTRANGE(""https://docs.google.com/spreadsheets/d/1QqKyyYR6Q21VydFLVH3TRQUabQu_ym0Zz7PgGX0-kHA/edit?usp=sharing"",""แผน!FX23"")"),51)</f>
        <v>51</v>
      </c>
      <c r="J465" s="555">
        <f>J485+J489+J492</f>
        <v>6</v>
      </c>
      <c r="K465" s="556">
        <f t="shared" ref="K465:K466" ca="1" si="205">IF(I465&gt;0,J465*100/I465,0)</f>
        <v>11.764705882352942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IFERROR(__xludf.DUMMYFUNCTION("IMPORTRANGE(""https://docs.google.com/spreadsheets/d/1QqKyyYR6Q21VydFLVH3TRQUabQu_ym0Zz7PgGX0-kHA/edit?usp=sharing"",""แผน!FW23"")"),500)</f>
        <v>500</v>
      </c>
      <c r="J466" s="533">
        <f>J495+J498</f>
        <v>50</v>
      </c>
      <c r="K466" s="534">
        <f t="shared" ca="1" si="205"/>
        <v>10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410323</v>
      </c>
      <c r="M467" s="195">
        <f t="shared" si="206"/>
        <v>0</v>
      </c>
      <c r="N467" s="195">
        <f t="shared" si="206"/>
        <v>74050</v>
      </c>
      <c r="O467" s="195">
        <f t="shared" ref="O467:O472" ca="1" si="207">IF(L467&gt;0,N467*100/L467,0)</f>
        <v>18.046758285545778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410323</v>
      </c>
      <c r="M469" s="93">
        <f t="shared" si="209"/>
        <v>0</v>
      </c>
      <c r="N469" s="93">
        <f t="shared" si="209"/>
        <v>74050</v>
      </c>
      <c r="O469" s="93">
        <f t="shared" ca="1" si="207"/>
        <v>18.046758285545778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410323</v>
      </c>
      <c r="M470" s="466">
        <f t="shared" si="210"/>
        <v>0</v>
      </c>
      <c r="N470" s="466">
        <f t="shared" si="210"/>
        <v>74050</v>
      </c>
      <c r="O470" s="466">
        <f t="shared" ca="1" si="207"/>
        <v>18.046758285545778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IFERROR(__xludf.DUMMYFUNCTION("IMPORTRANGE(""https://docs.google.com/spreadsheets/d/1QqKyyYR6Q21VydFLVH3TRQUabQu_ym0Zz7PgGX0-kHA/edit?usp=sharing"",""แผน!FS23"")"),410323)</f>
        <v>410323</v>
      </c>
      <c r="M472" s="93">
        <v>0</v>
      </c>
      <c r="N472" s="93">
        <f>N473+N474+N475+N476</f>
        <v>74050</v>
      </c>
      <c r="O472" s="93">
        <f t="shared" ca="1" si="207"/>
        <v>18.046758285545778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31790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35000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7260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IFERROR(__xludf.DUMMYFUNCTION("IMPORTRANGE(""https://docs.google.com/spreadsheets/d/1QqKyyYR6Q21VydFLVH3TRQUabQu_ym0Zz7PgGX0-kHA/edit?usp=sharing"",""แผน!FY23"")"),450)</f>
        <v>450</v>
      </c>
      <c r="J483" s="215"/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/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IFERROR(__xludf.DUMMYFUNCTION("IMPORTRANGE(""https://docs.google.com/spreadsheets/d/1QqKyyYR6Q21VydFLVH3TRQUabQu_ym0Zz7PgGX0-kHA/edit?usp=sharing"",""แผน!FZ23"")"),45)</f>
        <v>45</v>
      </c>
      <c r="J485" s="215"/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IFERROR(__xludf.DUMMYFUNCTION("IMPORTRANGE(""https://docs.google.com/spreadsheets/d/1QqKyyYR6Q21VydFLVH3TRQUabQu_ym0Zz7PgGX0-kHA/edit?usp=sharing"",""แผน!GA23"")"),50)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IFERROR(__xludf.DUMMYFUNCTION("IMPORTRANGE(""https://docs.google.com/spreadsheets/d/1QqKyyYR6Q21VydFLVH3TRQUabQu_ym0Zz7PgGX0-kHA/edit?usp=sharing"",""แผน!GB23"")"),5)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IFERROR(__xludf.DUMMYFUNCTION("IMPORTRANGE(""https://docs.google.com/spreadsheets/d/1QqKyyYR6Q21VydFLVH3TRQUabQu_ym0Zz7PgGX0-kHA/edit?usp=sharing"",""แผน!GC23"")"),1)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IFERROR(__xludf.DUMMYFUNCTION("IMPORTRANGE(""https://docs.google.com/spreadsheets/d/1QqKyyYR6Q21VydFLVH3TRQUabQu_ym0Zz7PgGX0-kHA/edit?usp=sharing"",""แผน!FY23"")"),450)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IFERROR(__xludf.DUMMYFUNCTION("IMPORTRANGE(""https://docs.google.com/spreadsheets/d/1QqKyyYR6Q21VydFLVH3TRQUabQu_ym0Zz7PgGX0-kHA/edit?usp=sharing"",""แผน!GA23"")"),50)</f>
        <v>50</v>
      </c>
      <c r="J498" s="215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5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IFERROR(__xludf.DUMMYFUNCTION("IMPORTRANGE(""https://docs.google.com/spreadsheets/d/1QqKyyYR6Q21VydFLVH3TRQUabQu_ym0Zz7PgGX0-kHA/edit?usp=sharing"",""แผน!GU23"")"),0)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IFERROR(__xludf.DUMMYFUNCTION("IMPORTRANGE(""https://docs.google.com/spreadsheets/d/1QqKyyYR6Q21VydFLVH3TRQUabQu_ym0Zz7PgGX0-kHA/edit?usp=sharing"",""แผน!GV23"")"),0)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IFERROR(__xludf.DUMMYFUNCTION("IMPORTRANGE(""https://docs.google.com/spreadsheets/d/1QqKyyYR6Q21VydFLVH3TRQUabQu_ym0Zz7PgGX0-kHA/edit?usp=sharing"",""แผน!GW23"")"),0)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IFERROR(__xludf.DUMMYFUNCTION("IMPORTRANGE(""https://docs.google.com/spreadsheets/d/1QqKyyYR6Q21VydFLVH3TRQUabQu_ym0Zz7PgGX0-kHA/edit?usp=sharing"",""แผน!GX23"")"),0)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IFERROR(__xludf.DUMMYFUNCTION("IMPORTRANGE(""https://docs.google.com/spreadsheets/d/1QqKyyYR6Q21VydFLVH3TRQUabQu_ym0Zz7PgGX0-kHA/edit?usp=sharing"",""แผน!GY23"")"),0)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IFERROR(__xludf.DUMMYFUNCTION("IMPORTRANGE(""https://docs.google.com/spreadsheets/d/1QqKyyYR6Q21VydFLVH3TRQUabQu_ym0Zz7PgGX0-kHA/edit?usp=sharing"",""แผน!GZ23"")"),0)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133053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614495</v>
      </c>
      <c r="M544" s="155">
        <f t="shared" si="236"/>
        <v>0</v>
      </c>
      <c r="N544" s="155">
        <f t="shared" si="236"/>
        <v>84280.15</v>
      </c>
      <c r="O544" s="155">
        <f t="shared" ref="O544:O549" ca="1" si="237">IF(L544&gt;0,N544*100/L544,0)</f>
        <v>13.715351630200409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614495</v>
      </c>
      <c r="M546" s="93">
        <f t="shared" si="240"/>
        <v>0</v>
      </c>
      <c r="N546" s="93">
        <f t="shared" si="240"/>
        <v>84280.15</v>
      </c>
      <c r="O546" s="93">
        <f t="shared" ca="1" si="237"/>
        <v>13.715351630200409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614495</v>
      </c>
      <c r="M547" s="466">
        <f t="shared" si="241"/>
        <v>0</v>
      </c>
      <c r="N547" s="466">
        <f t="shared" si="241"/>
        <v>84280.15</v>
      </c>
      <c r="O547" s="466">
        <f t="shared" ca="1" si="237"/>
        <v>13.715351630200409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IFERROR(__xludf.DUMMYFUNCTION("IMPORTRANGE(""https://docs.google.com/spreadsheets/d/1QqKyyYR6Q21VydFLVH3TRQUabQu_ym0Zz7PgGX0-kHA/edit?usp=sharing"",""แผน!HB23"")"),614495)</f>
        <v>614495</v>
      </c>
      <c r="M549" s="93">
        <v>0</v>
      </c>
      <c r="N549" s="93">
        <f>N550+N551+N552+N553+N554</f>
        <v>84280.15</v>
      </c>
      <c r="O549" s="93">
        <f t="shared" ca="1" si="237"/>
        <v>13.715351630200409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39000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45280.15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133053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IFERROR(__xludf.DUMMYFUNCTION("IMPORTRANGE(""https://docs.google.com/spreadsheets/d/1QqKyyYR6Q21VydFLVH3TRQUabQu_ym0Zz7PgGX0-kHA/edit?usp=sharing"",""แผน!HH23"")"),133053)</f>
        <v>133053</v>
      </c>
      <c r="J560" s="193">
        <f t="shared" ref="J560:J561" si="247">J562+J564+J566</f>
        <v>48526.545000000006</v>
      </c>
      <c r="K560" s="380">
        <f t="shared" ca="1" si="246"/>
        <v>36.471590268539614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IFERROR(__xludf.DUMMYFUNCTION("IMPORTRANGE(""https://docs.google.com/spreadsheets/d/1QqKyyYR6Q21VydFLVH3TRQUabQu_ym0Zz7PgGX0-kHA/edit?usp=sharing"",""แผน!HG23"")"),7593)</f>
        <v>7593</v>
      </c>
      <c r="J561" s="193">
        <f t="shared" si="247"/>
        <v>2633</v>
      </c>
      <c r="K561" s="380">
        <f t="shared" ca="1" si="246"/>
        <v>34.676675885684183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30859.599999999999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1807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15594.2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729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2072.7449999999999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97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IFERROR(__xludf.DUMMYFUNCTION("IMPORTRANGE(""https://docs.google.com/spreadsheets/d/1QqKyyYR6Q21VydFLVH3TRQUabQu_ym0Zz7PgGX0-kHA/edit?usp=sharing"",""แผน!HH23"")"),133053)</f>
        <v>133053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IFERROR(__xludf.DUMMYFUNCTION("IMPORTRANGE(""https://docs.google.com/spreadsheets/d/1QqKyyYR6Q21VydFLVH3TRQUabQu_ym0Zz7PgGX0-kHA/edit?usp=sharing"",""แผน!HG23"")"),7593)</f>
        <v>7593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IFERROR(__xludf.DUMMYFUNCTION("IMPORTRANGE(""https://docs.google.com/spreadsheets/d/1QqKyyYR6Q21VydFLVH3TRQUabQu_ym0Zz7PgGX0-kHA/edit?usp=sharing"",""แผน!HH23"")"),133053)</f>
        <v>133053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IFERROR(__xludf.DUMMYFUNCTION("IMPORTRANGE(""https://docs.google.com/spreadsheets/d/1QqKyyYR6Q21VydFLVH3TRQUabQu_ym0Zz7PgGX0-kHA/edit?usp=sharing"",""แผน!HG23"")"),7593)</f>
        <v>7593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8302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IFERROR(__xludf.DUMMYFUNCTION("IMPORTRANGE(""https://docs.google.com/spreadsheets/d/1QqKyyYR6Q21VydFLVH3TRQUabQu_ym0Zz7PgGX0-kHA/edit?usp=sharing"",""แผน!HJ23"")"),8302)</f>
        <v>8302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IFERROR(__xludf.DUMMYFUNCTION("IMPORTRANGE(""https://docs.google.com/spreadsheets/d/1QqKyyYR6Q21VydFLVH3TRQUabQu_ym0Zz7PgGX0-kHA/edit?usp=sharing"",""แผน!HI23"")"),382)</f>
        <v>382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IFERROR(__xludf.DUMMYFUNCTION("IMPORTRANGE(""https://docs.google.com/spreadsheets/d/1QqKyyYR6Q21VydFLVH3TRQUabQu_ym0Zz7PgGX0-kHA/edit?usp=sharing"",""แผน!HL23"")"),0)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IFERROR(__xludf.DUMMYFUNCTION("IMPORTRANGE(""https://docs.google.com/spreadsheets/d/1QqKyyYR6Q21VydFLVH3TRQUabQu_ym0Zz7PgGX0-kHA/edit?usp=sharing"",""แผน!HK23"")"),0)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430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595365</v>
      </c>
      <c r="M629" s="195">
        <f t="shared" si="263"/>
        <v>0</v>
      </c>
      <c r="N629" s="195">
        <f t="shared" si="263"/>
        <v>147910</v>
      </c>
      <c r="O629" s="195">
        <f t="shared" ref="O629:O634" ca="1" si="264">IF(L629&gt;0,N629*100/L629,0)</f>
        <v>24.843583348030201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595365</v>
      </c>
      <c r="M631" s="93">
        <f t="shared" si="266"/>
        <v>0</v>
      </c>
      <c r="N631" s="93">
        <f t="shared" si="266"/>
        <v>147910</v>
      </c>
      <c r="O631" s="93">
        <f t="shared" ca="1" si="264"/>
        <v>24.843583348030201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595365</v>
      </c>
      <c r="M632" s="466">
        <f t="shared" si="267"/>
        <v>0</v>
      </c>
      <c r="N632" s="466">
        <f t="shared" si="267"/>
        <v>147910</v>
      </c>
      <c r="O632" s="466">
        <f t="shared" ca="1" si="264"/>
        <v>24.843583348030201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IFERROR(__xludf.DUMMYFUNCTION("IMPORTRANGE(""https://docs.google.com/spreadsheets/d/1QqKyyYR6Q21VydFLVH3TRQUabQu_ym0Zz7PgGX0-kHA/edit?usp=sharing"",""แผน!HN23"")"),595365)</f>
        <v>595365</v>
      </c>
      <c r="M634" s="93">
        <v>0</v>
      </c>
      <c r="N634" s="93">
        <f>N635+N636+N637+N638</f>
        <v>147910</v>
      </c>
      <c r="O634" s="93">
        <f t="shared" ca="1" si="264"/>
        <v>24.843583348030201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39000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108910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IFERROR(__xludf.DUMMYFUNCTION("IMPORTRANGE(""https://docs.google.com/spreadsheets/d/1QqKyyYR6Q21VydFLVH3TRQUabQu_ym0Zz7PgGX0-kHA/edit?usp=sharing"",""แผน!HR23"")"),2)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IFERROR(__xludf.DUMMYFUNCTION("IMPORTRANGE(""https://docs.google.com/spreadsheets/d/1QqKyyYR6Q21VydFLVH3TRQUabQu_ym0Zz7PgGX0-kHA/edit?usp=sharing"",""แผน!HR23"")"),2)</f>
        <v>2</v>
      </c>
      <c r="J644" s="215">
        <v>2</v>
      </c>
      <c r="K644" s="163">
        <f t="shared" ca="1" si="271"/>
        <v>100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IFERROR(__xludf.DUMMYFUNCTION("IMPORTRANGE(""https://docs.google.com/spreadsheets/d/1XWAQStnk-4SwqDmLtmXYiTMKHgktTP8We1SCoS47DrQ/edit?usp=sharing"",""จัดที่ดิน!AS23"")"),90)</f>
        <v>90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IFERROR(__xludf.DUMMYFUNCTION("IMPORTRANGE(""https://docs.google.com/spreadsheets/d/1XWAQStnk-4SwqDmLtmXYiTMKHgktTP8We1SCoS47DrQ/edit?usp=sharing"",""จัดที่ดิน!AT23"")"),60.08)</f>
        <v>60.08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IFERROR(__xludf.DUMMYFUNCTION("IMPORTRANGE(""https://docs.google.com/spreadsheets/d/1QqKyyYR6Q21VydFLVH3TRQUabQu_ym0Zz7PgGX0-kHA/edit?usp=sharing"",""แผน!HS23"")"),430)</f>
        <v>430</v>
      </c>
      <c r="J647" s="270">
        <f ca="1">IFERROR(__xludf.DUMMYFUNCTION("IMPORTRANGE(""https://docs.google.com/spreadsheets/d/1XWAQStnk-4SwqDmLtmXYiTMKHgktTP8We1SCoS47DrQ/edit?usp=sharing"",""จัดที่ดิน!AU23"")"),109)</f>
        <v>109</v>
      </c>
      <c r="K647" s="163">
        <f t="shared" ca="1" si="271"/>
        <v>25.348837209302324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IFERROR(__xludf.DUMMYFUNCTION("IMPORTRANGE(""https://docs.google.com/spreadsheets/d/1XWAQStnk-4SwqDmLtmXYiTMKHgktTP8We1SCoS47DrQ/edit?usp=sharing"",""จัดที่ดิน!AV23"")"),58.06)</f>
        <v>58.06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IFERROR(__xludf.DUMMYFUNCTION("IMPORTRANGE(""https://docs.google.com/spreadsheets/d/1QqKyyYR6Q21VydFLVH3TRQUabQu_ym0Zz7PgGX0-kHA/edit?usp=sharing"",""แผน!HS23"")"),430)</f>
        <v>430</v>
      </c>
      <c r="J649" s="270">
        <f ca="1">IFERROR(__xludf.DUMMYFUNCTION("IMPORTRANGE(""https://docs.google.com/spreadsheets/d/1XWAQStnk-4SwqDmLtmXYiTMKHgktTP8We1SCoS47DrQ/edit?usp=sharing"",""จัดที่ดิน!AW23"")"),96)</f>
        <v>96</v>
      </c>
      <c r="K649" s="163">
        <f t="shared" ca="1" si="271"/>
        <v>22.325581395348838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IFERROR(__xludf.DUMMYFUNCTION("IMPORTRANGE(""https://docs.google.com/spreadsheets/d/1XWAQStnk-4SwqDmLtmXYiTMKHgktTP8We1SCoS47DrQ/edit?usp=sharing"",""จัดที่ดิน!AX23"")"),48.16)</f>
        <v>48.16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IFERROR(__xludf.DUMMYFUNCTION("IMPORTRANGE(""https://docs.google.com/spreadsheets/d/1QqKyyYR6Q21VydFLVH3TRQUabQu_ym0Zz7PgGX0-kHA/edit?usp=sharing"",""แผน!HS23"")"),430)</f>
        <v>430</v>
      </c>
      <c r="J651" s="270">
        <f ca="1">IFERROR(__xludf.DUMMYFUNCTION("IMPORTRANGE(""https://docs.google.com/spreadsheets/d/1XWAQStnk-4SwqDmLtmXYiTMKHgktTP8We1SCoS47DrQ/edit?usp=sharing"",""จัดที่ดิน!AY23"")"),0)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IFERROR(__xludf.DUMMYFUNCTION("IMPORTRANGE(""https://docs.google.com/spreadsheets/d/1XWAQStnk-4SwqDmLtmXYiTMKHgktTP8We1SCoS47DrQ/edit?usp=sharing"",""จัดที่ดิน!AZ23"")"),0)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IFERROR(__xludf.DUMMYFUNCTION("IMPORTRANGE(""https://docs.google.com/spreadsheets/d/1QqKyyYR6Q21VydFLVH3TRQUabQu_ym0Zz7PgGX0-kHA/edit?usp=sharing"",""แผน!IA23"")"),0)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IFERROR(__xludf.DUMMYFUNCTION("IMPORTRANGE(""https://docs.google.com/spreadsheets/d/1QqKyyYR6Q21VydFLVH3TRQUabQu_ym0Zz7PgGX0-kHA/edit?usp=sharing"",""แผน!HZ23"")"),0)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IFERROR(__xludf.DUMMYFUNCTION("IMPORTRANGE(""https://docs.google.com/spreadsheets/d/1QqKyyYR6Q21VydFLVH3TRQUabQu_ym0Zz7PgGX0-kHA/edit?usp=sharing"",""แผน!HZ23"")"),0)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IFERROR(__xludf.DUMMYFUNCTION("IMPORTRANGE(""https://docs.google.com/spreadsheets/d/1QqKyyYR6Q21VydFLVH3TRQUabQu_ym0Zz7PgGX0-kHA/edit?usp=sharing"",""แผน!IB23"")"),0)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14880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14880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14880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IFERROR(__xludf.DUMMYFUNCTION("IMPORTRANGE(""https://docs.google.com/spreadsheets/d/1QqKyyYR6Q21VydFLVH3TRQUabQu_ym0Zz7PgGX0-kHA/edit?usp=sharing"",""แผน!HW23"")"),14880)</f>
        <v>14880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IFERROR(__xludf.DUMMYFUNCTION("IMPORTRANGE(""https://docs.google.com/spreadsheets/d/1QqKyyYR6Q21VydFLVH3TRQUabQu_ym0Zz7PgGX0-kHA/edit?usp=sharing"",""แผน!IC23"")"),50)</f>
        <v>50</v>
      </c>
      <c r="J699" s="270">
        <f ca="1">IFERROR(__xludf.DUMMYFUNCTION("IMPORTRANGE(""https://docs.google.com/spreadsheets/d/1XWAQStnk-4SwqDmLtmXYiTMKHgktTP8We1SCoS47DrQ/edit?usp=sharing"",""จัดที่ดิน!BB23"")"),0)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IFERROR(__xludf.DUMMYFUNCTION("IMPORTRANGE(""https://docs.google.com/spreadsheets/d/1QqKyyYR6Q21VydFLVH3TRQUabQu_ym0Zz7PgGX0-kHA/edit?usp=sharing"",""แผน!ID23"")"),10)</f>
        <v>10</v>
      </c>
      <c r="J700" s="270">
        <f ca="1">IFERROR(__xludf.DUMMYFUNCTION("IMPORTRANGE(""https://docs.google.com/spreadsheets/d/1XWAQStnk-4SwqDmLtmXYiTMKHgktTP8We1SCoS47DrQ/edit?usp=sharing"",""จัดที่ดิน!BD23"")"),0)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IFERROR(__xludf.DUMMYFUNCTION("IMPORTRANGE(""https://docs.google.com/spreadsheets/d/1QqKyyYR6Q21VydFLVH3TRQUabQu_ym0Zz7PgGX0-kHA/edit?usp=sharing"",""แผน!IE23"")"),52)</f>
        <v>52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IFERROR(__xludf.DUMMYFUNCTION("IMPORTRANGE(""https://docs.google.com/spreadsheets/d/1QqKyyYR6Q21VydFLVH3TRQUabQu_ym0Zz7PgGX0-kHA/edit?usp=sharing"",""แผน!IF23"")"),52)</f>
        <v>52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IFERROR(__xludf.DUMMYFUNCTION("IMPORTRANGE(""https://docs.google.com/spreadsheets/d/1QqKyyYR6Q21VydFLVH3TRQUabQu_ym0Zz7PgGX0-kHA/edit?usp=sharing"",""แผน!IG23"")"),0)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IFERROR(__xludf.DUMMYFUNCTION("IMPORTRANGE(""https://docs.google.com/spreadsheets/d/1QqKyyYR6Q21VydFLVH3TRQUabQu_ym0Zz7PgGX0-kHA/edit?usp=sharing"",""แผน!IH23"")"),0)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IFERROR(__xludf.DUMMYFUNCTION("IMPORTRANGE(""https://docs.google.com/spreadsheets/d/1XWAQStnk-4SwqDmLtmXYiTMKHgktTP8We1SCoS47DrQ/edit?usp=sharing"",""จัดที่ดิน!BF23"")"),0)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IFERROR(__xludf.DUMMYFUNCTION("IMPORTRANGE(""https://docs.google.com/spreadsheets/d/1XWAQStnk-4SwqDmLtmXYiTMKHgktTP8We1SCoS47DrQ/edit?usp=sharing"",""จัดที่ดิน!BG23"")"),0)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IFERROR(__xludf.DUMMYFUNCTION("IMPORTRANGE(""https://docs.google.com/spreadsheets/d/1QqKyyYR6Q21VydFLVH3TRQUabQu_ym0Zz7PgGX0-kHA/edit?usp=sharing"",""แผน!II23"")"),0)</f>
        <v>0</v>
      </c>
      <c r="J720" s="270">
        <f ca="1">IFERROR(__xludf.DUMMYFUNCTION("IMPORTRANGE(""https://docs.google.com/spreadsheets/d/1XWAQStnk-4SwqDmLtmXYiTMKHgktTP8We1SCoS47DrQ/edit?usp=sharing"",""จัดที่ดิน!BH23"")"),0)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IFERROR(__xludf.DUMMYFUNCTION("IMPORTRANGE(""https://docs.google.com/spreadsheets/d/1QqKyyYR6Q21VydFLVH3TRQUabQu_ym0Zz7PgGX0-kHA/edit?usp=sharing"",""แผน!IJ23"")"),12)</f>
        <v>12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IFERROR(__xludf.DUMMYFUNCTION("IMPORTRANGE(""https://docs.google.com/spreadsheets/d/1QqKyyYR6Q21VydFLVH3TRQUabQu_ym0Zz7PgGX0-kHA/edit?usp=sharing"",""แผน!IK23"")"),52)</f>
        <v>52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IFERROR(__xludf.DUMMYFUNCTION("IMPORTRANGE(""https://docs.google.com/spreadsheets/d/1QqKyyYR6Q21VydFLVH3TRQUabQu_ym0Zz7PgGX0-kHA/edit?usp=sharing"",""แผน!IL23"")"),0)</f>
        <v>0</v>
      </c>
      <c r="J723" s="270">
        <f ca="1">IFERROR(__xludf.DUMMYFUNCTION("IMPORTRANGE(""https://docs.google.com/spreadsheets/d/1XWAQStnk-4SwqDmLtmXYiTMKHgktTP8We1SCoS47DrQ/edit?usp=sharing"",""จัดที่ดิน!BM23"")"),0)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IFERROR(__xludf.DUMMYFUNCTION("IMPORTRANGE(""https://docs.google.com/spreadsheets/d/1XWAQStnk-4SwqDmLtmXYiTMKHgktTP8We1SCoS47DrQ/edit?usp=sharing"",""จัดที่ดิน!BN23"")"),0)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IFERROR(__xludf.DUMMYFUNCTION("IMPORTRANGE(""https://docs.google.com/spreadsheets/d/1QqKyyYR6Q21VydFLVH3TRQUabQu_ym0Zz7PgGX0-kHA/edit?usp=sharing"",""แผน!IM23"")"),0)</f>
        <v>0</v>
      </c>
      <c r="J725" s="270">
        <f ca="1">IFERROR(__xludf.DUMMYFUNCTION("IMPORTRANGE(""https://docs.google.com/spreadsheets/d/1XWAQStnk-4SwqDmLtmXYiTMKHgktTP8We1SCoS47DrQ/edit?usp=sharing"",""จัดที่ดิน!BO23"")"),0)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IFERROR(__xludf.DUMMYFUNCTION("IMPORTRANGE(""https://docs.google.com/spreadsheets/d/1QqKyyYR6Q21VydFLVH3TRQUabQu_ym0Zz7PgGX0-kHA/edit?usp=sharing"",""แผน!IN23"")"),12)</f>
        <v>12</v>
      </c>
      <c r="J726" s="270">
        <f ca="1">IFERROR(__xludf.DUMMYFUNCTION("IMPORTRANGE(""https://docs.google.com/spreadsheets/d/1XWAQStnk-4SwqDmLtmXYiTMKHgktTP8We1SCoS47DrQ/edit?usp=sharing"",""จัดที่ดิน!BR23"")"),0)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IFERROR(__xludf.DUMMYFUNCTION("IMPORTRANGE(""https://docs.google.com/spreadsheets/d/1XWAQStnk-4SwqDmLtmXYiTMKHgktTP8We1SCoS47DrQ/edit?usp=sharing"",""จัดที่ดิน!BS23"")"),0)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IFERROR(__xludf.DUMMYFUNCTION("IMPORTRANGE(""https://docs.google.com/spreadsheets/d/1QqKyyYR6Q21VydFLVH3TRQUabQu_ym0Zz7PgGX0-kHA/edit?usp=sharing"",""แผน!IO23"")"),52)</f>
        <v>52</v>
      </c>
      <c r="J728" s="270">
        <f ca="1">IFERROR(__xludf.DUMMYFUNCTION("IMPORTRANGE(""https://docs.google.com/spreadsheets/d/1XWAQStnk-4SwqDmLtmXYiTMKHgktTP8We1SCoS47DrQ/edit?usp=sharing"",""จัดที่ดิน!BT23"")"),0)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IFERROR(__xludf.DUMMYFUNCTION("IMPORTRANGE(""https://docs.google.com/spreadsheets/d/1QqKyyYR6Q21VydFLVH3TRQUabQu_ym0Zz7PgGX0-kHA/edit?usp=sharing"",""แผน!IP23"")"),0)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892" t="s">
        <v>46</v>
      </c>
      <c r="I785" s="893">
        <f t="shared" ref="I785:J785" ca="1" si="318">I801+I803</f>
        <v>38000</v>
      </c>
      <c r="J785" s="893">
        <f t="shared" ca="1" si="318"/>
        <v>3753</v>
      </c>
      <c r="K785" s="894">
        <f ca="1">IF(I785&gt;0,J785*100/I785,0)</f>
        <v>9.8763157894736846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895" t="s">
        <v>12</v>
      </c>
      <c r="I786" s="896"/>
      <c r="J786" s="896"/>
      <c r="K786" s="897"/>
      <c r="L786" s="195">
        <f t="shared" ref="L786:N786" ca="1" si="319">L787+L788</f>
        <v>274560</v>
      </c>
      <c r="M786" s="195">
        <f t="shared" si="319"/>
        <v>0</v>
      </c>
      <c r="N786" s="195">
        <f t="shared" si="319"/>
        <v>31840</v>
      </c>
      <c r="O786" s="195">
        <f t="shared" ref="O786:O791" ca="1" si="320">IF(L786&gt;0,N786*100/L786,0)</f>
        <v>11.596736596736596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898" t="s">
        <v>12</v>
      </c>
      <c r="I787" s="896"/>
      <c r="J787" s="896"/>
      <c r="K787" s="89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898" t="s">
        <v>12</v>
      </c>
      <c r="I788" s="896"/>
      <c r="J788" s="896"/>
      <c r="K788" s="897"/>
      <c r="L788" s="93">
        <f t="shared" ca="1" si="322"/>
        <v>274560</v>
      </c>
      <c r="M788" s="93">
        <f t="shared" si="322"/>
        <v>0</v>
      </c>
      <c r="N788" s="93">
        <f t="shared" si="322"/>
        <v>31840</v>
      </c>
      <c r="O788" s="93">
        <f t="shared" ca="1" si="320"/>
        <v>11.596736596736596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27"/>
      <c r="F789" s="727"/>
      <c r="G789" s="189"/>
      <c r="H789" s="899" t="s">
        <v>12</v>
      </c>
      <c r="I789" s="900"/>
      <c r="J789" s="900"/>
      <c r="K789" s="901"/>
      <c r="L789" s="466">
        <f t="shared" ref="L789:N789" ca="1" si="323">L790+L791</f>
        <v>274560</v>
      </c>
      <c r="M789" s="466">
        <f t="shared" si="323"/>
        <v>0</v>
      </c>
      <c r="N789" s="466">
        <f t="shared" si="323"/>
        <v>31840</v>
      </c>
      <c r="O789" s="466">
        <f t="shared" ca="1" si="320"/>
        <v>11.596736596736596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898" t="s">
        <v>12</v>
      </c>
      <c r="I790" s="896"/>
      <c r="J790" s="896"/>
      <c r="K790" s="89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898" t="s">
        <v>12</v>
      </c>
      <c r="I791" s="896"/>
      <c r="J791" s="896"/>
      <c r="K791" s="897"/>
      <c r="L791" s="93">
        <f ca="1">IFERROR(__xludf.DUMMYFUNCTION("IMPORTRANGE(""https://docs.google.com/spreadsheets/d/1QqKyyYR6Q21VydFLVH3TRQUabQu_ym0Zz7PgGX0-kHA/edit?usp=sharing"",""แผน!JJ23"")"),274560)</f>
        <v>274560</v>
      </c>
      <c r="M791" s="93">
        <v>0</v>
      </c>
      <c r="N791" s="93">
        <f>N792+N793+N794+N795</f>
        <v>31840</v>
      </c>
      <c r="O791" s="93">
        <f t="shared" ca="1" si="320"/>
        <v>11.596736596736596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27"/>
      <c r="D792" s="727"/>
      <c r="E792" s="727"/>
      <c r="F792" s="727" t="s">
        <v>186</v>
      </c>
      <c r="G792" s="189"/>
      <c r="H792" s="899" t="s">
        <v>12</v>
      </c>
      <c r="I792" s="896"/>
      <c r="J792" s="896"/>
      <c r="K792" s="897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27"/>
      <c r="D793" s="727"/>
      <c r="E793" s="727"/>
      <c r="F793" s="727" t="s">
        <v>187</v>
      </c>
      <c r="G793" s="189"/>
      <c r="H793" s="899" t="s">
        <v>12</v>
      </c>
      <c r="I793" s="896"/>
      <c r="J793" s="896"/>
      <c r="K793" s="897"/>
      <c r="L793" s="466"/>
      <c r="M793" s="466"/>
      <c r="N793" s="798">
        <v>31840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27"/>
      <c r="D794" s="727"/>
      <c r="E794" s="727"/>
      <c r="F794" s="727" t="s">
        <v>188</v>
      </c>
      <c r="G794" s="189"/>
      <c r="H794" s="899" t="s">
        <v>12</v>
      </c>
      <c r="I794" s="896"/>
      <c r="J794" s="896"/>
      <c r="K794" s="897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27"/>
      <c r="D795" s="727"/>
      <c r="E795" s="727"/>
      <c r="F795" s="727" t="s">
        <v>189</v>
      </c>
      <c r="G795" s="189"/>
      <c r="H795" s="899" t="s">
        <v>12</v>
      </c>
      <c r="I795" s="896"/>
      <c r="J795" s="896"/>
      <c r="K795" s="897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27"/>
      <c r="D796" s="571" t="s">
        <v>21</v>
      </c>
      <c r="E796" s="727"/>
      <c r="F796" s="727"/>
      <c r="G796" s="189"/>
      <c r="H796" s="902" t="s">
        <v>12</v>
      </c>
      <c r="I796" s="900"/>
      <c r="J796" s="900"/>
      <c r="K796" s="901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898" t="s">
        <v>12</v>
      </c>
      <c r="I797" s="900"/>
      <c r="J797" s="900"/>
      <c r="K797" s="90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903" t="s">
        <v>12</v>
      </c>
      <c r="I798" s="900"/>
      <c r="J798" s="900"/>
      <c r="K798" s="90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904"/>
      <c r="I799" s="900"/>
      <c r="J799" s="900"/>
      <c r="K799" s="901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6"/>
      <c r="H800" s="905" t="s">
        <v>34</v>
      </c>
      <c r="I800" s="900"/>
      <c r="J800" s="906">
        <f ca="1">IFERROR(__xludf.DUMMYFUNCTION("IMPORTRANGE(""https://docs.google.com/spreadsheets/d/1MaWodYyGHDf7siQLGxnXhG4mBNTNIuy296niS2xXulU/edit?usp=sharing"",""RTK!H23"")"),0)</f>
        <v>0</v>
      </c>
      <c r="K800" s="897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6"/>
      <c r="H801" s="899" t="s">
        <v>46</v>
      </c>
      <c r="I801" s="906">
        <f ca="1">IFERROR(__xludf.DUMMYFUNCTION("IMPORTRANGE(""https://docs.google.com/spreadsheets/d/1MaWodYyGHDf7siQLGxnXhG4mBNTNIuy296niS2xXulU/edit?usp=sharing"",""RTK!G23"")"),4000)</f>
        <v>4000</v>
      </c>
      <c r="J801" s="907">
        <f ca="1">IFERROR(__xludf.DUMMYFUNCTION("IMPORTRANGE(""https://docs.google.com/spreadsheets/d/1MaWodYyGHDf7siQLGxnXhG4mBNTNIuy296niS2xXulU/edit?usp=sharing"",""RTK!I23"")"),0)</f>
        <v>0</v>
      </c>
      <c r="K801" s="908">
        <f ca="1">IF(I801&gt;0,J801*100/I801,0)</f>
        <v>0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4"/>
      <c r="F802" s="780" t="s">
        <v>321</v>
      </c>
      <c r="G802" s="582"/>
      <c r="H802" s="905" t="s">
        <v>34</v>
      </c>
      <c r="I802" s="900"/>
      <c r="J802" s="906">
        <f ca="1">IFERROR(__xludf.DUMMYFUNCTION("IMPORTRANGE(""https://docs.google.com/spreadsheets/d/1MaWodYyGHDf7siQLGxnXhG4mBNTNIuy296niS2xXulU/edit?usp=sharing"",""RTK!L23"")"),171)</f>
        <v>171</v>
      </c>
      <c r="K802" s="897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4"/>
      <c r="F803" s="684"/>
      <c r="G803" s="582"/>
      <c r="H803" s="905" t="s">
        <v>46</v>
      </c>
      <c r="I803" s="906">
        <f ca="1">IFERROR(__xludf.DUMMYFUNCTION("IMPORTRANGE(""https://docs.google.com/spreadsheets/d/1MaWodYyGHDf7siQLGxnXhG4mBNTNIuy296niS2xXulU/edit?usp=sharing"",""RTK!K23"")"),34000)</f>
        <v>34000</v>
      </c>
      <c r="J803" s="907">
        <f ca="1">IFERROR(__xludf.DUMMYFUNCTION("IMPORTRANGE(""https://docs.google.com/spreadsheets/d/1MaWodYyGHDf7siQLGxnXhG4mBNTNIuy296niS2xXulU/edit?usp=sharing"",""RTK!M23"")"),3753)</f>
        <v>3753</v>
      </c>
      <c r="K803" s="908">
        <f t="shared" ref="K803:K804" ca="1" si="327">IF(I803&gt;0,J803*100/I803,0)</f>
        <v>11.038235294117648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27"/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8">L806+L807</f>
        <v>0</v>
      </c>
      <c r="M805" s="613">
        <f t="shared" si="328"/>
        <v>0</v>
      </c>
      <c r="N805" s="613">
        <f t="shared" si="328"/>
        <v>0</v>
      </c>
      <c r="O805" s="613">
        <f t="shared" ref="O805:O810" si="329">IF(L805&gt;0,N805*100/L805,0)</f>
        <v>0</v>
      </c>
      <c r="P805" s="613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2">L809+L810</f>
        <v>0</v>
      </c>
      <c r="M808" s="613">
        <f t="shared" si="332"/>
        <v>0</v>
      </c>
      <c r="N808" s="613">
        <f t="shared" si="332"/>
        <v>0</v>
      </c>
      <c r="O808" s="613">
        <f t="shared" si="329"/>
        <v>0</v>
      </c>
      <c r="P808" s="613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3">L816+L817</f>
        <v>0</v>
      </c>
      <c r="M815" s="613">
        <f t="shared" si="333"/>
        <v>0</v>
      </c>
      <c r="N815" s="613">
        <f t="shared" si="333"/>
        <v>0</v>
      </c>
      <c r="O815" s="613">
        <f t="shared" ref="O815:O817" si="334">IF(L815&gt;0,N815*100/L815,0)</f>
        <v>0</v>
      </c>
      <c r="P815" s="613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IFERROR(__xludf.DUMMYFUNCTION("IMPORTRANGE(""https://docs.google.com/spreadsheets/d/19vJNZY_5yjcGF2XGBMNZRCAIB0Kwfpjp8YEOfu-bneM/edit?usp=sharing"",""งานกองทุน!D23"")"),13617653.35)</f>
        <v>13617653.35</v>
      </c>
      <c r="J821" s="270">
        <f ca="1">IFERROR(__xludf.DUMMYFUNCTION("IMPORTRANGE(""https://docs.google.com/spreadsheets/d/19vJNZY_5yjcGF2XGBMNZRCAIB0Kwfpjp8YEOfu-bneM/edit?usp=sharing"",""งานกองทุน!F23"")"),492266.28)</f>
        <v>492266.28</v>
      </c>
      <c r="K821" s="466">
        <f t="shared" ref="K821:K828" ca="1" si="336">IF(I821&gt;0,J821*100/I821,0)</f>
        <v>3.6149126971278061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IFERROR(__xludf.DUMMYFUNCTION("IMPORTRANGE(""https://docs.google.com/spreadsheets/d/19vJNZY_5yjcGF2XGBMNZRCAIB0Kwfpjp8YEOfu-bneM/edit?usp=sharing"",""งานกองทุน!C23"")"),488)</f>
        <v>488</v>
      </c>
      <c r="J822" s="270">
        <f ca="1">IFERROR(__xludf.DUMMYFUNCTION("IMPORTRANGE(""https://docs.google.com/spreadsheets/d/19vJNZY_5yjcGF2XGBMNZRCAIB0Kwfpjp8YEOfu-bneM/edit?usp=sharing"",""งานกองทุน!E23"")"),24)</f>
        <v>24</v>
      </c>
      <c r="K822" s="466">
        <f t="shared" ca="1" si="336"/>
        <v>4.918032786885246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270">
        <f ca="1">IFERROR(__xludf.DUMMYFUNCTION("IMPORTRANGE(""https://docs.google.com/spreadsheets/d/19vJNZY_5yjcGF2XGBMNZRCAIB0Kwfpjp8YEOfu-bneM/edit?usp=sharing"",""งานกองทุน!K23"")"),1141855.64)</f>
        <v>1141855.6399999999</v>
      </c>
      <c r="K823" s="466">
        <f t="shared" ca="1" si="336"/>
        <v>3.698518613745879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IFERROR(__xludf.DUMMYFUNCTION("IMPORTRANGE(""https://docs.google.com/spreadsheets/d/19vJNZY_5yjcGF2XGBMNZRCAIB0Kwfpjp8YEOfu-bneM/edit?usp=sharing"",""งานกองทุน!H23"")"),1118)</f>
        <v>1118</v>
      </c>
      <c r="J824" s="270">
        <f ca="1">IFERROR(__xludf.DUMMYFUNCTION("IMPORTRANGE(""https://docs.google.com/spreadsheets/d/19vJNZY_5yjcGF2XGBMNZRCAIB0Kwfpjp8YEOfu-bneM/edit?usp=sharing"",""งานกองทุน!J23"")"),148)</f>
        <v>148</v>
      </c>
      <c r="K824" s="466">
        <f t="shared" ca="1" si="336"/>
        <v>13.237924865831843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270">
        <f ca="1">IFERROR(__xludf.DUMMYFUNCTION("IMPORTRANGE(""https://docs.google.com/spreadsheets/d/19vJNZY_5yjcGF2XGBMNZRCAIB0Kwfpjp8YEOfu-bneM/edit?usp=sharing"",""งานกองทุน!P23"")"),61572.41)</f>
        <v>61572.41</v>
      </c>
      <c r="K825" s="466">
        <f t="shared" ca="1" si="336"/>
        <v>2.3272338758391875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IFERROR(__xludf.DUMMYFUNCTION("IMPORTRANGE(""https://docs.google.com/spreadsheets/d/19vJNZY_5yjcGF2XGBMNZRCAIB0Kwfpjp8YEOfu-bneM/edit?usp=sharing"",""งานกองทุน!M23"")"),132)</f>
        <v>132</v>
      </c>
      <c r="J826" s="270">
        <f ca="1">IFERROR(__xludf.DUMMYFUNCTION("IMPORTRANGE(""https://docs.google.com/spreadsheets/d/19vJNZY_5yjcGF2XGBMNZRCAIB0Kwfpjp8YEOfu-bneM/edit?usp=sharing"",""งานกองทุน!O23"")"),16)</f>
        <v>16</v>
      </c>
      <c r="K826" s="466">
        <f t="shared" ca="1" si="336"/>
        <v>12.121212121212121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IFERROR(__xludf.DUMMYFUNCTION("IMPORTRANGE(""https://docs.google.com/spreadsheets/d/19vJNZY_5yjcGF2XGBMNZRCAIB0Kwfpjp8YEOfu-bneM/edit?usp=sharing"",""งานกองทุน!S23"")"),13050000)</f>
        <v>13050000</v>
      </c>
      <c r="J827" s="270">
        <f ca="1">IFERROR(__xludf.DUMMYFUNCTION("IMPORTRANGE(""https://docs.google.com/spreadsheets/d/19vJNZY_5yjcGF2XGBMNZRCAIB0Kwfpjp8YEOfu-bneM/edit?usp=sharing"",""งานกองทุน!U23"")"),2290000)</f>
        <v>2290000</v>
      </c>
      <c r="K827" s="466">
        <f t="shared" ca="1" si="336"/>
        <v>17.547892720306514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IFERROR(__xludf.DUMMYFUNCTION("IMPORTRANGE(""https://docs.google.com/spreadsheets/d/19vJNZY_5yjcGF2XGBMNZRCAIB0Kwfpjp8YEOfu-bneM/edit?usp=sharing"",""งานกองทุน!R23"")"),522)</f>
        <v>522</v>
      </c>
      <c r="J828" s="469">
        <f ca="1">IFERROR(__xludf.DUMMYFUNCTION("IMPORTRANGE(""https://docs.google.com/spreadsheets/d/19vJNZY_5yjcGF2XGBMNZRCAIB0Kwfpjp8YEOfu-bneM/edit?usp=sharing"",""งานกองทุน!T23"")"),66)</f>
        <v>66</v>
      </c>
      <c r="K828" s="470">
        <f t="shared" ca="1" si="336"/>
        <v>12.64367816091954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0D4E2-D9EB-42F5-9A38-298EB040188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10" width="16.8554687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346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5505492</v>
      </c>
      <c r="M8" s="22">
        <f t="shared" ca="1" si="0"/>
        <v>1859600</v>
      </c>
      <c r="N8" s="22">
        <f t="shared" ca="1" si="0"/>
        <v>1607834.38</v>
      </c>
      <c r="O8" s="22">
        <f t="shared" ref="O8:O16" ca="1" si="1">IF(L8&gt;0,N8*100/L8,0)</f>
        <v>29.204190651807323</v>
      </c>
      <c r="P8" s="22">
        <f t="shared" ref="P8:P16" ca="1" si="2">IF(M8&gt;0,N8*100/M8,0)</f>
        <v>86.461302430630241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5505492</v>
      </c>
      <c r="M10" s="30">
        <f t="shared" ca="1" si="3"/>
        <v>1859600</v>
      </c>
      <c r="N10" s="30">
        <f t="shared" ca="1" si="3"/>
        <v>1607834.38</v>
      </c>
      <c r="O10" s="30">
        <f t="shared" ca="1" si="1"/>
        <v>29.204190651807323</v>
      </c>
      <c r="P10" s="30">
        <f t="shared" ca="1" si="2"/>
        <v>86.461302430630241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5068892</v>
      </c>
      <c r="M11" s="466">
        <f t="shared" ca="1" si="4"/>
        <v>1424800</v>
      </c>
      <c r="N11" s="466">
        <f t="shared" ca="1" si="4"/>
        <v>1173034.3799999999</v>
      </c>
      <c r="O11" s="466">
        <f t="shared" ca="1" si="1"/>
        <v>23.141830206680275</v>
      </c>
      <c r="P11" s="466">
        <f t="shared" ca="1" si="2"/>
        <v>82.329757158899483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5068892</v>
      </c>
      <c r="M13" s="93">
        <f t="shared" ca="1" si="5"/>
        <v>1424800</v>
      </c>
      <c r="N13" s="93">
        <f t="shared" ca="1" si="5"/>
        <v>1173034.3799999999</v>
      </c>
      <c r="O13" s="93">
        <f t="shared" ca="1" si="1"/>
        <v>23.141830206680275</v>
      </c>
      <c r="P13" s="93">
        <f t="shared" ca="1" si="2"/>
        <v>82.329757158899483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436600</v>
      </c>
      <c r="M14" s="466">
        <f t="shared" ca="1" si="6"/>
        <v>434800</v>
      </c>
      <c r="N14" s="466">
        <f t="shared" ca="1" si="6"/>
        <v>434800</v>
      </c>
      <c r="O14" s="466">
        <f t="shared" ca="1" si="1"/>
        <v>99.587723316536881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436600</v>
      </c>
      <c r="M16" s="52">
        <f t="shared" ca="1" si="7"/>
        <v>434800</v>
      </c>
      <c r="N16" s="52">
        <f t="shared" ca="1" si="7"/>
        <v>434800</v>
      </c>
      <c r="O16" s="52">
        <f t="shared" ca="1" si="1"/>
        <v>99.587723316536881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3242795</v>
      </c>
      <c r="M18" s="22">
        <f t="shared" ca="1" si="8"/>
        <v>1859600</v>
      </c>
      <c r="N18" s="22">
        <f t="shared" ca="1" si="8"/>
        <v>1335043.2199999997</v>
      </c>
      <c r="O18" s="22">
        <f t="shared" ref="O18:O26" ca="1" si="9">IF(L18&gt;0,N18*100/L18,0)</f>
        <v>41.169522587767645</v>
      </c>
      <c r="P18" s="22">
        <f t="shared" ref="P18:P26" ca="1" si="10">IF(M18&gt;0,N18*100/M18,0)</f>
        <v>71.791956334695612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3242795</v>
      </c>
      <c r="M20" s="30">
        <f t="shared" ca="1" si="11"/>
        <v>1859600</v>
      </c>
      <c r="N20" s="30">
        <f t="shared" ca="1" si="11"/>
        <v>1335043.2199999997</v>
      </c>
      <c r="O20" s="30">
        <f t="shared" ca="1" si="9"/>
        <v>41.169522587767645</v>
      </c>
      <c r="P20" s="30">
        <f t="shared" ca="1" si="10"/>
        <v>71.791956334695612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2806195</v>
      </c>
      <c r="M21" s="466">
        <f t="shared" ca="1" si="12"/>
        <v>1424800</v>
      </c>
      <c r="N21" s="466">
        <f t="shared" ca="1" si="12"/>
        <v>900243.21999999986</v>
      </c>
      <c r="O21" s="466">
        <f t="shared" ca="1" si="9"/>
        <v>32.080565320656611</v>
      </c>
      <c r="P21" s="466">
        <f t="shared" ca="1" si="10"/>
        <v>63.183830713082529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2806195</v>
      </c>
      <c r="M23" s="93">
        <f t="shared" ca="1" si="13"/>
        <v>1424800</v>
      </c>
      <c r="N23" s="93">
        <f t="shared" ca="1" si="13"/>
        <v>900243.21999999986</v>
      </c>
      <c r="O23" s="93">
        <f t="shared" ca="1" si="9"/>
        <v>32.080565320656611</v>
      </c>
      <c r="P23" s="93">
        <f t="shared" ca="1" si="10"/>
        <v>63.183830713082529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436600</v>
      </c>
      <c r="M24" s="466">
        <f t="shared" ca="1" si="14"/>
        <v>434800</v>
      </c>
      <c r="N24" s="466">
        <f t="shared" ca="1" si="14"/>
        <v>434800</v>
      </c>
      <c r="O24" s="466">
        <f t="shared" ca="1" si="9"/>
        <v>99.587723316536881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436600</v>
      </c>
      <c r="M26" s="52">
        <f t="shared" ca="1" si="15"/>
        <v>434800</v>
      </c>
      <c r="N26" s="52">
        <f t="shared" ca="1" si="15"/>
        <v>434800</v>
      </c>
      <c r="O26" s="52">
        <f t="shared" ca="1" si="9"/>
        <v>99.587723316536881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2262697</v>
      </c>
      <c r="M28" s="22">
        <f t="shared" si="16"/>
        <v>0</v>
      </c>
      <c r="N28" s="22">
        <f t="shared" si="16"/>
        <v>272791.16000000003</v>
      </c>
      <c r="O28" s="22">
        <f t="shared" ref="O28:O37" ca="1" si="17">IF(L28&gt;0,N28*100/L28,0)</f>
        <v>12.056018105826809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2262697</v>
      </c>
      <c r="M30" s="30">
        <f t="shared" si="19"/>
        <v>0</v>
      </c>
      <c r="N30" s="30">
        <f t="shared" si="19"/>
        <v>272791.16000000003</v>
      </c>
      <c r="O30" s="30">
        <f t="shared" ca="1" si="17"/>
        <v>12.056018105826809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2262697</v>
      </c>
      <c r="M31" s="466">
        <f t="shared" si="20"/>
        <v>0</v>
      </c>
      <c r="N31" s="466">
        <f t="shared" si="20"/>
        <v>272791.16000000003</v>
      </c>
      <c r="O31" s="466">
        <f t="shared" ca="1" si="17"/>
        <v>12.056018105826809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2262697</v>
      </c>
      <c r="M33" s="93">
        <f t="shared" si="21"/>
        <v>0</v>
      </c>
      <c r="N33" s="93">
        <f t="shared" si="21"/>
        <v>272791.16000000003</v>
      </c>
      <c r="O33" s="93">
        <f t="shared" ca="1" si="17"/>
        <v>12.056018105826809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3242795</v>
      </c>
      <c r="M37" s="832">
        <f t="shared" ca="1" si="24"/>
        <v>1859600</v>
      </c>
      <c r="N37" s="832">
        <f t="shared" ca="1" si="24"/>
        <v>1335043.22</v>
      </c>
      <c r="O37" s="832">
        <f t="shared" ca="1" si="17"/>
        <v>41.169522587767652</v>
      </c>
      <c r="P37" s="832">
        <f t="shared" ca="1" si="18"/>
        <v>71.791956334695627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637200</v>
      </c>
      <c r="M41" s="85">
        <f t="shared" ca="1" si="25"/>
        <v>318600</v>
      </c>
      <c r="N41" s="85">
        <f t="shared" ca="1" si="25"/>
        <v>210200</v>
      </c>
      <c r="O41" s="85">
        <f t="shared" ref="O41:O49" ca="1" si="26">IF(L41&gt;0,N41*100/L41,0)</f>
        <v>32.988072818581294</v>
      </c>
      <c r="P41" s="85">
        <f t="shared" ref="P41:P49" ca="1" si="27">IF(M41&gt;0,N41*100/M41,0)</f>
        <v>65.976145637162588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637200</v>
      </c>
      <c r="M43" s="92">
        <f t="shared" ca="1" si="28"/>
        <v>318600</v>
      </c>
      <c r="N43" s="92">
        <f t="shared" ca="1" si="28"/>
        <v>210200</v>
      </c>
      <c r="O43" s="92">
        <f t="shared" ca="1" si="26"/>
        <v>32.988072818581294</v>
      </c>
      <c r="P43" s="92">
        <f t="shared" ca="1" si="27"/>
        <v>65.976145637162588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637200</v>
      </c>
      <c r="M44" s="466">
        <f t="shared" ca="1" si="29"/>
        <v>318600</v>
      </c>
      <c r="N44" s="466">
        <f t="shared" ca="1" si="29"/>
        <v>210200</v>
      </c>
      <c r="O44" s="466">
        <f t="shared" ca="1" si="26"/>
        <v>32.988072818581294</v>
      </c>
      <c r="P44" s="466">
        <f t="shared" ca="1" si="27"/>
        <v>65.976145637162588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IFERROR(__xludf.DUMMYFUNCTION("IMPORTRANGE(""https://docs.google.com/spreadsheets/d/1MeEWN-I1oV_STSDYn1IFDPWt_1FKiwhDph83XaGc0o0/edit?usp=sharing"",""งบพรบ!M24"")"),637200)</f>
        <v>637200</v>
      </c>
      <c r="M46" s="93">
        <f ca="1">IFERROR(__xludf.DUMMYFUNCTION("IMPORTRANGE(""https://docs.google.com/spreadsheets/d/1MeEWN-I1oV_STSDYn1IFDPWt_1FKiwhDph83XaGc0o0/edit?usp=sharing"",""งบพรบ!R24"")"),318600)</f>
        <v>318600</v>
      </c>
      <c r="N46" s="93">
        <f ca="1">IFERROR(__xludf.DUMMYFUNCTION("IMPORTRANGE(""https://docs.google.com/spreadsheets/d/1MeEWN-I1oV_STSDYn1IFDPWt_1FKiwhDph83XaGc0o0/edit?usp=sharing"",""งบพรบ!T24"")"),210200)</f>
        <v>210200</v>
      </c>
      <c r="O46" s="93">
        <f t="shared" ca="1" si="26"/>
        <v>32.988072818581294</v>
      </c>
      <c r="P46" s="93">
        <f t="shared" ca="1" si="27"/>
        <v>65.976145637162588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IFERROR(__xludf.DUMMYFUNCTION("IMPORTRANGE(""https://docs.google.com/spreadsheets/d/1MeEWN-I1oV_STSDYn1IFDPWt_1FKiwhDph83XaGc0o0/edit?usp=sharing"",""งบพรบ!P24"")"),0)</f>
        <v>0</v>
      </c>
      <c r="M49" s="52">
        <f ca="1">IFERROR(__xludf.DUMMYFUNCTION("IMPORTRANGE(""https://docs.google.com/spreadsheets/d/1MeEWN-I1oV_STSDYn1IFDPWt_1FKiwhDph83XaGc0o0/edit?usp=sharing"",""งบพรบ!S24"")"),0)</f>
        <v>0</v>
      </c>
      <c r="N49" s="52">
        <f ca="1">IFERROR(__xludf.DUMMYFUNCTION("IMPORTRANGE(""https://docs.google.com/spreadsheets/d/1MeEWN-I1oV_STSDYn1IFDPWt_1FKiwhDph83XaGc0o0/edit?usp=sharing"",""งบพรบ!U24"")"),0)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672700</v>
      </c>
      <c r="M53" s="116">
        <f t="shared" ca="1" si="31"/>
        <v>365750</v>
      </c>
      <c r="N53" s="116">
        <f t="shared" ca="1" si="31"/>
        <v>314900.94</v>
      </c>
      <c r="O53" s="116">
        <f t="shared" ref="O53:O61" ca="1" si="32">IF(L53&gt;0,N53*100/L53,0)</f>
        <v>46.811496952579155</v>
      </c>
      <c r="P53" s="116">
        <f t="shared" ref="P53:P61" ca="1" si="33">IF(M53&gt;0,N53*100/M53,0)</f>
        <v>86.097317840054686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672700</v>
      </c>
      <c r="M55" s="123">
        <f t="shared" ca="1" si="34"/>
        <v>365750</v>
      </c>
      <c r="N55" s="123">
        <f t="shared" ca="1" si="34"/>
        <v>314900.94</v>
      </c>
      <c r="O55" s="123">
        <f t="shared" ca="1" si="32"/>
        <v>46.811496952579155</v>
      </c>
      <c r="P55" s="123">
        <f t="shared" ca="1" si="33"/>
        <v>86.097317840054686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613900</v>
      </c>
      <c r="M56" s="466">
        <f t="shared" ca="1" si="35"/>
        <v>306950</v>
      </c>
      <c r="N56" s="466">
        <f t="shared" ca="1" si="35"/>
        <v>256100.94</v>
      </c>
      <c r="O56" s="466">
        <f t="shared" ca="1" si="32"/>
        <v>41.71704512135527</v>
      </c>
      <c r="P56" s="466">
        <f t="shared" ca="1" si="33"/>
        <v>83.434090242710539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IFERROR(__xludf.DUMMYFUNCTION("IMPORTRANGE(""https://docs.google.com/spreadsheets/d/1MeEWN-I1oV_STSDYn1IFDPWt_1FKiwhDph83XaGc0o0/edit?usp=sharing"",""งบพรบ!W24"")"),613900)</f>
        <v>613900</v>
      </c>
      <c r="M58" s="93">
        <f ca="1">IFERROR(__xludf.DUMMYFUNCTION("IMPORTRANGE(""https://docs.google.com/spreadsheets/d/1MeEWN-I1oV_STSDYn1IFDPWt_1FKiwhDph83XaGc0o0/edit?usp=sharing"",""งบพรบ!AB24"")"),306950)</f>
        <v>306950</v>
      </c>
      <c r="N58" s="93">
        <f ca="1">IFERROR(__xludf.DUMMYFUNCTION("IMPORTRANGE(""https://docs.google.com/spreadsheets/d/1MeEWN-I1oV_STSDYn1IFDPWt_1FKiwhDph83XaGc0o0/edit?usp=sharing"",""งบพรบ!AD24"")"),256100.94)</f>
        <v>256100.94</v>
      </c>
      <c r="O58" s="93">
        <f t="shared" ca="1" si="32"/>
        <v>41.71704512135527</v>
      </c>
      <c r="P58" s="93">
        <f t="shared" ca="1" si="33"/>
        <v>83.434090242710539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58800</v>
      </c>
      <c r="M59" s="466">
        <f t="shared" ca="1" si="36"/>
        <v>58800</v>
      </c>
      <c r="N59" s="466">
        <f t="shared" ca="1" si="36"/>
        <v>58800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IFERROR(__xludf.DUMMYFUNCTION("IMPORTRANGE(""https://docs.google.com/spreadsheets/d/1MeEWN-I1oV_STSDYn1IFDPWt_1FKiwhDph83XaGc0o0/edit?usp=sharing"",""งบพรบ!Z24"")"),58800)</f>
        <v>58800</v>
      </c>
      <c r="M61" s="52">
        <f ca="1">IFERROR(__xludf.DUMMYFUNCTION("IMPORTRANGE(""https://docs.google.com/spreadsheets/d/1MeEWN-I1oV_STSDYn1IFDPWt_1FKiwhDph83XaGc0o0/edit?usp=sharing"",""งบพรบ!AC24"")"),58800)</f>
        <v>58800</v>
      </c>
      <c r="N61" s="52">
        <f ca="1">IFERROR(__xludf.DUMMYFUNCTION("IMPORTRANGE(""https://docs.google.com/spreadsheets/d/1MeEWN-I1oV_STSDYn1IFDPWt_1FKiwhDph83XaGc0o0/edit?usp=sharing"",""งบพรบ!AE24"")"),58800)</f>
        <v>58800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IFERROR(__xludf.DUMMYFUNCTION("IMPORTRANGE(""https://docs.google.com/spreadsheets/d/1MeEWN-I1oV_STSDYn1IFDPWt_1FKiwhDph83XaGc0o0/edit?usp=sharing"",""งบพรบ!AG24"")"),0)</f>
        <v>0</v>
      </c>
      <c r="M71" s="93">
        <f ca="1">IFERROR(__xludf.DUMMYFUNCTION("IMPORTRANGE(""https://docs.google.com/spreadsheets/d/1MeEWN-I1oV_STSDYn1IFDPWt_1FKiwhDph83XaGc0o0/edit?usp=sharing"",""งบพรบ!AL24"")"),0)</f>
        <v>0</v>
      </c>
      <c r="N71" s="93">
        <f ca="1">IFERROR(__xludf.DUMMYFUNCTION("IMPORTRANGE(""https://docs.google.com/spreadsheets/d/1MeEWN-I1oV_STSDYn1IFDPWt_1FKiwhDph83XaGc0o0/edit?usp=sharing"",""งบพรบ!AN24"")"),0)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IFERROR(__xludf.DUMMYFUNCTION("IMPORTRANGE(""https://docs.google.com/spreadsheets/d/1MeEWN-I1oV_STSDYn1IFDPWt_1FKiwhDph83XaGc0o0/edit?usp=sharing"",""งบพรบ!AJ24"")"),0)</f>
        <v>0</v>
      </c>
      <c r="M74" s="93">
        <f ca="1">IFERROR(__xludf.DUMMYFUNCTION("IMPORTRANGE(""https://docs.google.com/spreadsheets/d/1MeEWN-I1oV_STSDYn1IFDPWt_1FKiwhDph83XaGc0o0/edit?usp=sharing"",""งบพรบ!AM24"")"),0)</f>
        <v>0</v>
      </c>
      <c r="N74" s="93">
        <f ca="1">IFERROR(__xludf.DUMMYFUNCTION("IMPORTRANGE(""https://docs.google.com/spreadsheets/d/1MeEWN-I1oV_STSDYn1IFDPWt_1FKiwhDph83XaGc0o0/edit?usp=sharing"",""งบพรบ!AO24"")"),0)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23840</v>
      </c>
      <c r="N88" s="155">
        <f t="shared" ca="1" si="49"/>
        <v>18340</v>
      </c>
      <c r="O88" s="155">
        <f t="shared" ref="O88:O96" ca="1" si="50">IF(L88&gt;0,N88*100/L88,0)</f>
        <v>21.315667131566713</v>
      </c>
      <c r="P88" s="155">
        <f t="shared" ref="P88:P96" ca="1" si="51">IF(M88&gt;0,N88*100/M88,0)</f>
        <v>76.929530201342288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23840</v>
      </c>
      <c r="N90" s="93">
        <f t="shared" ca="1" si="52"/>
        <v>18340</v>
      </c>
      <c r="O90" s="93">
        <f t="shared" ca="1" si="50"/>
        <v>21.315667131566713</v>
      </c>
      <c r="P90" s="93">
        <f t="shared" ca="1" si="51"/>
        <v>76.929530201342288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23840</v>
      </c>
      <c r="N91" s="466">
        <f t="shared" ca="1" si="53"/>
        <v>18340</v>
      </c>
      <c r="O91" s="466">
        <f t="shared" ca="1" si="50"/>
        <v>21.315667131566713</v>
      </c>
      <c r="P91" s="466">
        <f t="shared" ca="1" si="51"/>
        <v>76.929530201342288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IFERROR(__xludf.DUMMYFUNCTION("IMPORTRANGE(""https://docs.google.com/spreadsheets/d/1MeEWN-I1oV_STSDYn1IFDPWt_1FKiwhDph83XaGc0o0/edit?usp=sharing"",""งบพรบ!AQ24"")"),86040)</f>
        <v>86040</v>
      </c>
      <c r="M93" s="93">
        <f ca="1">IFERROR(__xludf.DUMMYFUNCTION("IMPORTRANGE(""https://docs.google.com/spreadsheets/d/1MeEWN-I1oV_STSDYn1IFDPWt_1FKiwhDph83XaGc0o0/edit?usp=sharing"",""งบพรบ!AV24"")"),23840)</f>
        <v>23840</v>
      </c>
      <c r="N93" s="93">
        <f ca="1">IFERROR(__xludf.DUMMYFUNCTION("IMPORTRANGE(""https://docs.google.com/spreadsheets/d/1MeEWN-I1oV_STSDYn1IFDPWt_1FKiwhDph83XaGc0o0/edit?usp=sharing"",""งบพรบ!AX24"")"),18340)</f>
        <v>18340</v>
      </c>
      <c r="O93" s="93">
        <f t="shared" ca="1" si="50"/>
        <v>21.315667131566713</v>
      </c>
      <c r="P93" s="93">
        <f t="shared" ca="1" si="51"/>
        <v>76.929530201342288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IFERROR(__xludf.DUMMYFUNCTION("IMPORTRANGE(""https://docs.google.com/spreadsheets/d/1MeEWN-I1oV_STSDYn1IFDPWt_1FKiwhDph83XaGc0o0/edit?usp=sharing"",""งบพรบ!AT24"")"),0)</f>
        <v>0</v>
      </c>
      <c r="M96" s="93">
        <f ca="1">IFERROR(__xludf.DUMMYFUNCTION("IMPORTRANGE(""https://docs.google.com/spreadsheets/d/1MeEWN-I1oV_STSDYn1IFDPWt_1FKiwhDph83XaGc0o0/edit?usp=sharing"",""งบพรบ!AW24"")"),0)</f>
        <v>0</v>
      </c>
      <c r="N96" s="93">
        <f ca="1">IFERROR(__xludf.DUMMYFUNCTION("IMPORTRANGE(""https://docs.google.com/spreadsheets/d/1MeEWN-I1oV_STSDYn1IFDPWt_1FKiwhDph83XaGc0o0/edit?usp=sharing"",""งบพรบ!AY24"")"),0)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IFERROR(__xludf.DUMMYFUNCTION("IMPORTRANGE(""https://docs.google.com/spreadsheets/d/1QqKyyYR6Q21VydFLVH3TRQUabQu_ym0Zz7PgGX0-kHA/edit?usp=sharing"",""แผน!K24"")"),30)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IFERROR(__xludf.DUMMYFUNCTION("IMPORTRANGE(""https://docs.google.com/spreadsheets/d/1QqKyyYR6Q21VydFLVH3TRQUabQu_ym0Zz7PgGX0-kHA/edit?usp=sharing"",""แผน!L24"")"),10)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IFERROR(__xludf.DUMMYFUNCTION("IMPORTRANGE(""https://docs.google.com/spreadsheets/d/1QqKyyYR6Q21VydFLVH3TRQUabQu_ym0Zz7PgGX0-kHA/edit?usp=sharing"",""แผน!M24"")"),2)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IFERROR(__xludf.DUMMYFUNCTION("IMPORTRANGE(""https://docs.google.com/spreadsheets/d/1QqKyyYR6Q21VydFLVH3TRQUabQu_ym0Zz7PgGX0-kHA/edit?usp=sharing"",""แผน!N24"")"),30)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IFERROR(__xludf.DUMMYFUNCTION("IMPORTRANGE(""https://docs.google.com/spreadsheets/d/1QqKyyYR6Q21VydFLVH3TRQUabQu_ym0Zz7PgGX0-kHA/edit?usp=sharing"",""แผน!O24"")"),10)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IFERROR(__xludf.DUMMYFUNCTION("IMPORTRANGE(""https://docs.google.com/spreadsheets/d/1QqKyyYR6Q21VydFLVH3TRQUabQu_ym0Zz7PgGX0-kHA/edit?usp=sharing"",""แผน!O24"")"),10)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IFERROR(__xludf.DUMMYFUNCTION("IMPORTRANGE(""https://docs.google.com/spreadsheets/d/1QqKyyYR6Q21VydFLVH3TRQUabQu_ym0Zz7PgGX0-kHA/edit?usp=sharing"",""แผน!P24"")"),1)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IFERROR(__xludf.DUMMYFUNCTION("IMPORTRANGE(""https://docs.google.com/spreadsheets/d/1QqKyyYR6Q21VydFLVH3TRQUabQu_ym0Zz7PgGX0-kHA/edit?usp=sharing"",""แผน!P24"")"),1)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IFERROR(__xludf.DUMMYFUNCTION("IMPORTRANGE(""https://docs.google.com/spreadsheets/d/1QqKyyYR6Q21VydFLVH3TRQUabQu_ym0Zz7PgGX0-kHA/edit?usp=sharing"",""แผน!Q24"")"),1)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IFERROR(__xludf.DUMMYFUNCTION("IMPORTRANGE(""https://docs.google.com/spreadsheets/d/1QqKyyYR6Q21VydFLVH3TRQUabQu_ym0Zz7PgGX0-kHA/edit?usp=sharing"",""แผน!Q24"")"),1)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IFERROR(__xludf.DUMMYFUNCTION("IMPORTRANGE(""https://docs.google.com/spreadsheets/d/1QqKyyYR6Q21VydFLVH3TRQUabQu_ym0Zz7PgGX0-kHA/edit?usp=sharing"",""แผน!R24"")"),10)</f>
        <v>10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IFERROR(__xludf.DUMMYFUNCTION("IMPORTRANGE(""https://docs.google.com/spreadsheets/d/1QqKyyYR6Q21VydFLVH3TRQUabQu_ym0Zz7PgGX0-kHA/edit?usp=sharing"",""แผน!R24"")"),10)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IFERROR(__xludf.DUMMYFUNCTION("IMPORTRANGE(""https://docs.google.com/spreadsheets/d/1QqKyyYR6Q21VydFLVH3TRQUabQu_ym0Zz7PgGX0-kHA/edit?usp=sharing"",""แผน!R24"")"),10)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IFERROR(__xludf.DUMMYFUNCTION("IMPORTRANGE(""https://docs.google.com/spreadsheets/d/1QqKyyYR6Q21VydFLVH3TRQUabQu_ym0Zz7PgGX0-kHA/edit?usp=sharing"",""แผน!S24"")"),1)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IFERROR(__xludf.DUMMYFUNCTION("IMPORTRANGE(""https://docs.google.com/spreadsheets/d/1QqKyyYR6Q21VydFLVH3TRQUabQu_ym0Zz7PgGX0-kHA/edit?usp=sharing"",""แผน!T24"")"),1)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IFERROR(__xludf.DUMMYFUNCTION("IMPORTRANGE(""https://docs.google.com/spreadsheets/d/1MeEWN-I1oV_STSDYn1IFDPWt_1FKiwhDph83XaGc0o0/edit?usp=sharing"",""งบพรบ!BA24"")"),0)</f>
        <v>0</v>
      </c>
      <c r="M124" s="93">
        <f ca="1">IFERROR(__xludf.DUMMYFUNCTION("IMPORTRANGE(""https://docs.google.com/spreadsheets/d/1MeEWN-I1oV_STSDYn1IFDPWt_1FKiwhDph83XaGc0o0/edit?usp=sharing"",""งบพรบ!BF24"")"),0)</f>
        <v>0</v>
      </c>
      <c r="N124" s="93">
        <f ca="1">IFERROR(__xludf.DUMMYFUNCTION("IMPORTRANGE(""https://docs.google.com/spreadsheets/d/1MeEWN-I1oV_STSDYn1IFDPWt_1FKiwhDph83XaGc0o0/edit?usp=sharing"",""งบพรบ!BH24"")"),0)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IFERROR(__xludf.DUMMYFUNCTION("IMPORTRANGE(""https://docs.google.com/spreadsheets/d/1MeEWN-I1oV_STSDYn1IFDPWt_1FKiwhDph83XaGc0o0/edit?usp=sharing"",""งบพรบ!BD24"")"),0)</f>
        <v>0</v>
      </c>
      <c r="M127" s="93">
        <f ca="1">IFERROR(__xludf.DUMMYFUNCTION("IMPORTRANGE(""https://docs.google.com/spreadsheets/d/1MeEWN-I1oV_STSDYn1IFDPWt_1FKiwhDph83XaGc0o0/edit?usp=sharing"",""งบพรบ!BG24"")"),0)</f>
        <v>0</v>
      </c>
      <c r="N127" s="93">
        <f ca="1">IFERROR(__xludf.DUMMYFUNCTION("IMPORTRANGE(""https://docs.google.com/spreadsheets/d/1MeEWN-I1oV_STSDYn1IFDPWt_1FKiwhDph83XaGc0o0/edit?usp=sharing"",""งบพรบ!BI24"")"),0)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542565</v>
      </c>
      <c r="M132" s="155">
        <f t="shared" ca="1" si="69"/>
        <v>443100</v>
      </c>
      <c r="N132" s="155">
        <f t="shared" ca="1" si="69"/>
        <v>348200</v>
      </c>
      <c r="O132" s="155">
        <f t="shared" ref="O132:O140" ca="1" si="70">IF(L132&gt;0,N132*100/L132,0)</f>
        <v>64.176642429939264</v>
      </c>
      <c r="P132" s="155">
        <f t="shared" ref="P132:P140" ca="1" si="71">IF(M132&gt;0,N132*100/M132,0)</f>
        <v>78.58271270593545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542565</v>
      </c>
      <c r="M134" s="93">
        <f t="shared" ca="1" si="72"/>
        <v>443100</v>
      </c>
      <c r="N134" s="93">
        <f t="shared" ca="1" si="72"/>
        <v>348200</v>
      </c>
      <c r="O134" s="93">
        <f t="shared" ca="1" si="70"/>
        <v>64.176642429939264</v>
      </c>
      <c r="P134" s="93">
        <f t="shared" ca="1" si="71"/>
        <v>78.58271270593545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233565</v>
      </c>
      <c r="M135" s="466">
        <f t="shared" ca="1" si="73"/>
        <v>135600</v>
      </c>
      <c r="N135" s="466">
        <f t="shared" ca="1" si="73"/>
        <v>40700</v>
      </c>
      <c r="O135" s="466">
        <f t="shared" ca="1" si="70"/>
        <v>17.425556055059619</v>
      </c>
      <c r="P135" s="466">
        <f t="shared" ca="1" si="71"/>
        <v>30.014749262536874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IFERROR(__xludf.DUMMYFUNCTION("IMPORTRANGE(""https://docs.google.com/spreadsheets/d/1MeEWN-I1oV_STSDYn1IFDPWt_1FKiwhDph83XaGc0o0/edit?usp=sharing"",""งบพรบ!BK24"")"),233565)</f>
        <v>233565</v>
      </c>
      <c r="M137" s="93">
        <f ca="1">IFERROR(__xludf.DUMMYFUNCTION("IMPORTRANGE(""https://docs.google.com/spreadsheets/d/1MeEWN-I1oV_STSDYn1IFDPWt_1FKiwhDph83XaGc0o0/edit?usp=sharing"",""งบพรบ!BP24"")"),135600)</f>
        <v>135600</v>
      </c>
      <c r="N137" s="93">
        <f ca="1">IFERROR(__xludf.DUMMYFUNCTION("IMPORTRANGE(""https://docs.google.com/spreadsheets/d/1MeEWN-I1oV_STSDYn1IFDPWt_1FKiwhDph83XaGc0o0/edit?usp=sharing"",""งบพรบ!BR24"")"),40700)</f>
        <v>40700</v>
      </c>
      <c r="O137" s="93">
        <f t="shared" ca="1" si="70"/>
        <v>17.425556055059619</v>
      </c>
      <c r="P137" s="93">
        <f t="shared" ca="1" si="71"/>
        <v>30.014749262536874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307500</v>
      </c>
      <c r="N138" s="466">
        <f t="shared" ca="1" si="74"/>
        <v>307500</v>
      </c>
      <c r="O138" s="466">
        <f t="shared" ca="1" si="70"/>
        <v>99.514563106796118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IFERROR(__xludf.DUMMYFUNCTION("IMPORTRANGE(""https://docs.google.com/spreadsheets/d/1MeEWN-I1oV_STSDYn1IFDPWt_1FKiwhDph83XaGc0o0/edit?usp=sharing"",""งบพรบ!BN24"")"),309000)</f>
        <v>309000</v>
      </c>
      <c r="M140" s="93">
        <f ca="1">IFERROR(__xludf.DUMMYFUNCTION("IMPORTRANGE(""https://docs.google.com/spreadsheets/d/1MeEWN-I1oV_STSDYn1IFDPWt_1FKiwhDph83XaGc0o0/edit?usp=sharing"",""งบพรบ!BQ24"")"),307500)</f>
        <v>307500</v>
      </c>
      <c r="N140" s="93">
        <f ca="1">IFERROR(__xludf.DUMMYFUNCTION("IMPORTRANGE(""https://docs.google.com/spreadsheets/d/1MeEWN-I1oV_STSDYn1IFDPWt_1FKiwhDph83XaGc0o0/edit?usp=sharing"",""งบพรบ!BS24"")"),307500)</f>
        <v>307500</v>
      </c>
      <c r="O140" s="93">
        <f t="shared" ca="1" si="70"/>
        <v>99.514563106796118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/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IFERROR(__xludf.DUMMYFUNCTION("IMPORTRANGE(""https://docs.google.com/spreadsheets/d/1QqKyyYR6Q21VydFLVH3TRQUabQu_ym0Zz7PgGX0-kHA/edit?usp=sharing"",""แผน!U24"")"),15)</f>
        <v>15</v>
      </c>
      <c r="J144" s="215">
        <v>30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IFERROR(__xludf.DUMMYFUNCTION("IMPORTRANGE(""https://docs.google.com/spreadsheets/d/1QqKyyYR6Q21VydFLVH3TRQUabQu_ym0Zz7PgGX0-kHA/edit?usp=sharing"",""แผน!V24"")"),30)</f>
        <v>30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IFERROR(__xludf.DUMMYFUNCTION("IMPORTRANGE(""https://docs.google.com/spreadsheets/d/1QqKyyYR6Q21VydFLVH3TRQUabQu_ym0Zz7PgGX0-kHA/edit?usp=sharing"",""แผน!W24"")"),3)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720</v>
      </c>
      <c r="N149" s="155">
        <f t="shared" ca="1" si="77"/>
        <v>720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720</v>
      </c>
      <c r="N151" s="93">
        <f t="shared" ca="1" si="80"/>
        <v>720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720</v>
      </c>
      <c r="N152" s="466">
        <f t="shared" ca="1" si="81"/>
        <v>720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IFERROR(__xludf.DUMMYFUNCTION("IMPORTRANGE(""https://docs.google.com/spreadsheets/d/1MeEWN-I1oV_STSDYn1IFDPWt_1FKiwhDph83XaGc0o0/edit?usp=sharing"",""งบพรบ!BU24"")"),0)</f>
        <v>0</v>
      </c>
      <c r="M154" s="93">
        <f ca="1">IFERROR(__xludf.DUMMYFUNCTION("IMPORTRANGE(""https://docs.google.com/spreadsheets/d/1MeEWN-I1oV_STSDYn1IFDPWt_1FKiwhDph83XaGc0o0/edit?usp=sharing"",""งบพรบ!BZ24"")"),720)</f>
        <v>720</v>
      </c>
      <c r="N154" s="93">
        <f ca="1">IFERROR(__xludf.DUMMYFUNCTION("IMPORTRANGE(""https://docs.google.com/spreadsheets/d/1MeEWN-I1oV_STSDYn1IFDPWt_1FKiwhDph83XaGc0o0/edit?usp=sharing"",""งบพรบ!CB24"")"),720)</f>
        <v>720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IFERROR(__xludf.DUMMYFUNCTION("IMPORTRANGE(""https://docs.google.com/spreadsheets/d/1MeEWN-I1oV_STSDYn1IFDPWt_1FKiwhDph83XaGc0o0/edit?usp=sharing"",""งบพรบ!BX24"")"),0)</f>
        <v>0</v>
      </c>
      <c r="M157" s="93">
        <f ca="1">IFERROR(__xludf.DUMMYFUNCTION("IMPORTRANGE(""https://docs.google.com/spreadsheets/d/1MeEWN-I1oV_STSDYn1IFDPWt_1FKiwhDph83XaGc0o0/edit?usp=sharing"",""งบพรบ!CA24"")"),0)</f>
        <v>0</v>
      </c>
      <c r="N157" s="93">
        <f ca="1">IFERROR(__xludf.DUMMYFUNCTION("IMPORTRANGE(""https://docs.google.com/spreadsheets/d/1MeEWN-I1oV_STSDYn1IFDPWt_1FKiwhDph83XaGc0o0/edit?usp=sharing"",""งบพรบ!CC24"")"),0)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21050</v>
      </c>
      <c r="N168" s="466">
        <f t="shared" ca="1" si="88"/>
        <v>21050</v>
      </c>
      <c r="O168" s="466">
        <f t="shared" ca="1" si="85"/>
        <v>100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IFERROR(__xludf.DUMMYFUNCTION("IMPORTRANGE(""https://docs.google.com/spreadsheets/d/1MeEWN-I1oV_STSDYn1IFDPWt_1FKiwhDph83XaGc0o0/edit?usp=sharing"",""งบพรบ!CE24"")"),21050)</f>
        <v>21050</v>
      </c>
      <c r="M170" s="93">
        <f ca="1">IFERROR(__xludf.DUMMYFUNCTION("IMPORTRANGE(""https://docs.google.com/spreadsheets/d/1MeEWN-I1oV_STSDYn1IFDPWt_1FKiwhDph83XaGc0o0/edit?usp=sharing"",""งบพรบ!CJ24"")"),21050)</f>
        <v>21050</v>
      </c>
      <c r="N170" s="93">
        <f ca="1">IFERROR(__xludf.DUMMYFUNCTION("IMPORTRANGE(""https://docs.google.com/spreadsheets/d/1MeEWN-I1oV_STSDYn1IFDPWt_1FKiwhDph83XaGc0o0/edit?usp=sharing"",""งบพรบ!CL24"")"),21050)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IFERROR(__xludf.DUMMYFUNCTION("IMPORTRANGE(""https://docs.google.com/spreadsheets/d/1MeEWN-I1oV_STSDYn1IFDPWt_1FKiwhDph83XaGc0o0/edit?usp=sharing"",""งบพรบ!CH24"")"),0)</f>
        <v>0</v>
      </c>
      <c r="M173" s="93">
        <f ca="1">IFERROR(__xludf.DUMMYFUNCTION("IMPORTRANGE(""https://docs.google.com/spreadsheets/d/1MeEWN-I1oV_STSDYn1IFDPWt_1FKiwhDph83XaGc0o0/edit?usp=sharing"",""งบพรบ!CK24"")"),0)</f>
        <v>0</v>
      </c>
      <c r="N173" s="93">
        <f ca="1">IFERROR(__xludf.DUMMYFUNCTION("IMPORTRANGE(""https://docs.google.com/spreadsheets/d/1MeEWN-I1oV_STSDYn1IFDPWt_1FKiwhDph83XaGc0o0/edit?usp=sharing"",""งบพรบ!CM24"")"),0)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47000</v>
      </c>
      <c r="M181" s="155">
        <f t="shared" ca="1" si="92"/>
        <v>21000</v>
      </c>
      <c r="N181" s="155">
        <f t="shared" ca="1" si="92"/>
        <v>3832.44</v>
      </c>
      <c r="O181" s="155">
        <f t="shared" ref="O181:O189" ca="1" si="93">IF(L181&gt;0,N181*100/L181,0)</f>
        <v>8.1541276595744687</v>
      </c>
      <c r="P181" s="155">
        <f t="shared" ref="P181:P189" ca="1" si="94">IF(M181&gt;0,N181*100/M181,0)</f>
        <v>18.249714285714287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47000</v>
      </c>
      <c r="M183" s="93">
        <f t="shared" ca="1" si="95"/>
        <v>21000</v>
      </c>
      <c r="N183" s="93">
        <f t="shared" ca="1" si="95"/>
        <v>3832.44</v>
      </c>
      <c r="O183" s="93">
        <f t="shared" ca="1" si="93"/>
        <v>8.1541276595744687</v>
      </c>
      <c r="P183" s="93">
        <f t="shared" ca="1" si="94"/>
        <v>18.249714285714287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47000</v>
      </c>
      <c r="M184" s="466">
        <f t="shared" ca="1" si="96"/>
        <v>21000</v>
      </c>
      <c r="N184" s="466">
        <f t="shared" ca="1" si="96"/>
        <v>3832.44</v>
      </c>
      <c r="O184" s="466">
        <f t="shared" ca="1" si="93"/>
        <v>8.1541276595744687</v>
      </c>
      <c r="P184" s="466">
        <f t="shared" ca="1" si="94"/>
        <v>18.249714285714287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IFERROR(__xludf.DUMMYFUNCTION("IMPORTRANGE(""https://docs.google.com/spreadsheets/d/1MeEWN-I1oV_STSDYn1IFDPWt_1FKiwhDph83XaGc0o0/edit?usp=sharing"",""งบพรบ!CO24"")"),47000)</f>
        <v>47000</v>
      </c>
      <c r="M186" s="93">
        <f ca="1">IFERROR(__xludf.DUMMYFUNCTION("IMPORTRANGE(""https://docs.google.com/spreadsheets/d/1MeEWN-I1oV_STSDYn1IFDPWt_1FKiwhDph83XaGc0o0/edit?usp=sharing"",""งบพรบ!CT24"")"),21000)</f>
        <v>21000</v>
      </c>
      <c r="N186" s="93">
        <f ca="1">IFERROR(__xludf.DUMMYFUNCTION("IMPORTRANGE(""https://docs.google.com/spreadsheets/d/1MeEWN-I1oV_STSDYn1IFDPWt_1FKiwhDph83XaGc0o0/edit?usp=sharing"",""งบพรบ!CV24"")"),3832.44)</f>
        <v>3832.44</v>
      </c>
      <c r="O186" s="93">
        <f t="shared" ca="1" si="93"/>
        <v>8.1541276595744687</v>
      </c>
      <c r="P186" s="93">
        <f t="shared" ca="1" si="94"/>
        <v>18.249714285714287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IFERROR(__xludf.DUMMYFUNCTION("IMPORTRANGE(""https://docs.google.com/spreadsheets/d/1MeEWN-I1oV_STSDYn1IFDPWt_1FKiwhDph83XaGc0o0/edit?usp=sharing"",""งบพรบ!CR24"")"),0)</f>
        <v>0</v>
      </c>
      <c r="M189" s="93">
        <f ca="1">IFERROR(__xludf.DUMMYFUNCTION("IMPORTRANGE(""https://docs.google.com/spreadsheets/d/1MeEWN-I1oV_STSDYn1IFDPWt_1FKiwhDph83XaGc0o0/edit?usp=sharing"",""งบพรบ!CU24"")"),0)</f>
        <v>0</v>
      </c>
      <c r="N189" s="93">
        <f ca="1">IFERROR(__xludf.DUMMYFUNCTION("IMPORTRANGE(""https://docs.google.com/spreadsheets/d/1MeEWN-I1oV_STSDYn1IFDPWt_1FKiwhDph83XaGc0o0/edit?usp=sharing"",""งบพรบ!CW24"")"),0)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IFERROR(__xludf.DUMMYFUNCTION("IMPORTRANGE(""https://docs.google.com/spreadsheets/d/1QqKyyYR6Q21VydFLVH3TRQUabQu_ym0Zz7PgGX0-kHA/edit?usp=sharing"",""แผน!Z24"")"),6000)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IFERROR(__xludf.DUMMYFUNCTION("IMPORTRANGE(""https://docs.google.com/spreadsheets/d/1QqKyyYR6Q21VydFLVH3TRQUabQu_ym0Zz7PgGX0-kHA/edit?usp=sharing"",""แผน!AC24"")"),4)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IFERROR(__xludf.DUMMYFUNCTION("IMPORTRANGE(""https://docs.google.com/spreadsheets/d/1QqKyyYR6Q21VydFLVH3TRQUabQu_ym0Zz7PgGX0-kHA/edit?usp=sharing"",""แผน!AE24"")"),2000)</f>
        <v>2000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IFERROR(__xludf.DUMMYFUNCTION("IMPORTRANGE(""https://docs.google.com/spreadsheets/d/1QqKyyYR6Q21VydFLVH3TRQUabQu_ym0Zz7PgGX0-kHA/edit?usp=sharing"",""แผน!AF24"")"),16000)</f>
        <v>16000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IFERROR(__xludf.DUMMYFUNCTION("IMPORTRANGE(""https://docs.google.com/spreadsheets/d/1QqKyyYR6Q21VydFLVH3TRQUabQu_ym0Zz7PgGX0-kHA/edit?usp=sharing"",""แผน!AG24"")"),8000)</f>
        <v>8000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IFERROR(__xludf.DUMMYFUNCTION("IMPORTRANGE(""https://docs.google.com/spreadsheets/d/1QqKyyYR6Q21VydFLVH3TRQUabQu_ym0Zz7PgGX0-kHA/edit?usp=sharing"",""แผน!AH24"")"),0)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IFERROR(__xludf.DUMMYFUNCTION("IMPORTRANGE(""https://docs.google.com/spreadsheets/d/1QqKyyYR6Q21VydFLVH3TRQUabQu_ym0Zz7PgGX0-kHA/edit?usp=sharing"",""แผน!AI24"")"),2)</f>
        <v>2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IFERROR(__xludf.DUMMYFUNCTION("IMPORTRANGE(""https://docs.google.com/spreadsheets/d/1QqKyyYR6Q21VydFLVH3TRQUabQu_ym0Zz7PgGX0-kHA/edit?usp=sharing"",""แผน!AK24"")"),0)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IFERROR(__xludf.DUMMYFUNCTION("IMPORTRANGE(""https://docs.google.com/spreadsheets/d/1QqKyyYR6Q21VydFLVH3TRQUabQu_ym0Zz7PgGX0-kHA/edit?usp=sharing"",""แผน!AL24"")"),0)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IFERROR(__xludf.DUMMYFUNCTION("IMPORTRANGE(""https://docs.google.com/spreadsheets/d/1QqKyyYR6Q21VydFLVH3TRQUabQu_ym0Zz7PgGX0-kHA/edit?usp=sharing"",""แผน!AM24"")"),0)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IFERROR(__xludf.DUMMYFUNCTION("IMPORTRANGE(""https://docs.google.com/spreadsheets/d/1QqKyyYR6Q21VydFLVH3TRQUabQu_ym0Zz7PgGX0-kHA/edit?usp=sharing"",""แผน!AP24"")"),5000)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IFERROR(__xludf.DUMMYFUNCTION("IMPORTRANGE(""https://docs.google.com/spreadsheets/d/1QqKyyYR6Q21VydFLVH3TRQUabQu_ym0Zz7PgGX0-kHA/edit?usp=sharing"",""แผน!AQ24"")"),10000)</f>
        <v>10000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IFERROR(__xludf.DUMMYFUNCTION("IMPORTRANGE(""https://docs.google.com/spreadsheets/d/1QqKyyYR6Q21VydFLVH3TRQUabQu_ym0Zz7PgGX0-kHA/edit?usp=sharing"",""แผน!AR24"")"),0)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IFERROR(__xludf.DUMMYFUNCTION("IMPORTRANGE(""https://docs.google.com/spreadsheets/d/1QqKyyYR6Q21VydFLVH3TRQUabQu_ym0Zz7PgGX0-kHA/edit?usp=sharing"",""แผน!AT24"")"),40000)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IFERROR(__xludf.DUMMYFUNCTION("IMPORTRANGE(""https://docs.google.com/spreadsheets/d/1QqKyyYR6Q21VydFLVH3TRQUabQu_ym0Zz7PgGX0-kHA/edit?usp=sharing"",""แผน!AT24"")"),40000)</f>
        <v>40000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24</v>
      </c>
      <c r="K260" s="254">
        <f ca="1">IF(I260&gt;0,J260*100/I260,0)</f>
        <v>109.09090909090909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21020</v>
      </c>
      <c r="O261" s="155">
        <f t="shared" ref="O261:O269" ca="1" si="117">IF(L261&gt;0,N261*100/L261,0)</f>
        <v>78.141263940520446</v>
      </c>
      <c r="P261" s="155">
        <f t="shared" ref="P261:P269" ca="1" si="118">IF(M261&gt;0,N261*100/M261,0)</f>
        <v>87.94979079497908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21020</v>
      </c>
      <c r="O263" s="93">
        <f t="shared" ca="1" si="117"/>
        <v>78.141263940520446</v>
      </c>
      <c r="P263" s="93">
        <f t="shared" ca="1" si="118"/>
        <v>87.94979079497908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21020</v>
      </c>
      <c r="O264" s="466">
        <f t="shared" ca="1" si="117"/>
        <v>78.141263940520446</v>
      </c>
      <c r="P264" s="466">
        <f t="shared" ca="1" si="118"/>
        <v>87.94979079497908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IFERROR(__xludf.DUMMYFUNCTION("IMPORTRANGE(""https://docs.google.com/spreadsheets/d/1MeEWN-I1oV_STSDYn1IFDPWt_1FKiwhDph83XaGc0o0/edit?usp=sharing"",""งบพรบ!CY24"")"),26900)</f>
        <v>26900</v>
      </c>
      <c r="M266" s="93">
        <f ca="1">IFERROR(__xludf.DUMMYFUNCTION("IMPORTRANGE(""https://docs.google.com/spreadsheets/d/1MeEWN-I1oV_STSDYn1IFDPWt_1FKiwhDph83XaGc0o0/edit?usp=sharing"",""งบพรบ!DD24"")"),23900)</f>
        <v>23900</v>
      </c>
      <c r="N266" s="93">
        <f ca="1">IFERROR(__xludf.DUMMYFUNCTION("IMPORTRANGE(""https://docs.google.com/spreadsheets/d/1MeEWN-I1oV_STSDYn1IFDPWt_1FKiwhDph83XaGc0o0/edit?usp=sharing"",""งบพรบ!DF24"")"),21020)</f>
        <v>21020</v>
      </c>
      <c r="O266" s="93">
        <f t="shared" ca="1" si="117"/>
        <v>78.141263940520446</v>
      </c>
      <c r="P266" s="93">
        <f t="shared" ca="1" si="118"/>
        <v>87.94979079497908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IFERROR(__xludf.DUMMYFUNCTION("IMPORTRANGE(""https://docs.google.com/spreadsheets/d/1MeEWN-I1oV_STSDYn1IFDPWt_1FKiwhDph83XaGc0o0/edit?usp=sharing"",""งบพรบ!DB24"")"),0)</f>
        <v>0</v>
      </c>
      <c r="M269" s="93">
        <f ca="1">IFERROR(__xludf.DUMMYFUNCTION("IMPORTRANGE(""https://docs.google.com/spreadsheets/d/1MeEWN-I1oV_STSDYn1IFDPWt_1FKiwhDph83XaGc0o0/edit?usp=sharing"",""งบพรบ!DE24"")"),0)</f>
        <v>0</v>
      </c>
      <c r="N269" s="93">
        <f ca="1">IFERROR(__xludf.DUMMYFUNCTION("IMPORTRANGE(""https://docs.google.com/spreadsheets/d/1MeEWN-I1oV_STSDYn1IFDPWt_1FKiwhDph83XaGc0o0/edit?usp=sharing"",""งบพรบ!DG24"")"),0)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IFERROR(__xludf.DUMMYFUNCTION("IMPORTRANGE(""https://docs.google.com/spreadsheets/d/1QqKyyYR6Q21VydFLVH3TRQUabQu_ym0Zz7PgGX0-kHA/edit?usp=sharing"",""แผน!EA24"")"),22)</f>
        <v>22</v>
      </c>
      <c r="J271" s="215">
        <v>24</v>
      </c>
      <c r="K271" s="163">
        <f ca="1">IF(I271&gt;0,J271*100/I271,0)</f>
        <v>109.09090909090909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199610</v>
      </c>
      <c r="M277" s="155">
        <f t="shared" ca="1" si="125"/>
        <v>101250</v>
      </c>
      <c r="N277" s="155">
        <f t="shared" ca="1" si="125"/>
        <v>50152</v>
      </c>
      <c r="O277" s="155">
        <f t="shared" ref="O277:O285" ca="1" si="126">IF(L277&gt;0,N277*100/L277,0)</f>
        <v>25.124993737788689</v>
      </c>
      <c r="P277" s="155">
        <f t="shared" ref="P277:P285" ca="1" si="127">IF(M277&gt;0,N277*100/M277,0)</f>
        <v>49.532839506172841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199610</v>
      </c>
      <c r="M279" s="93">
        <f t="shared" ca="1" si="128"/>
        <v>101250</v>
      </c>
      <c r="N279" s="93">
        <f t="shared" ca="1" si="128"/>
        <v>50152</v>
      </c>
      <c r="O279" s="93">
        <f t="shared" ca="1" si="126"/>
        <v>25.124993737788689</v>
      </c>
      <c r="P279" s="93">
        <f t="shared" ca="1" si="127"/>
        <v>49.532839506172841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199610</v>
      </c>
      <c r="M280" s="466">
        <f t="shared" ca="1" si="129"/>
        <v>101250</v>
      </c>
      <c r="N280" s="466">
        <f t="shared" ca="1" si="129"/>
        <v>50152</v>
      </c>
      <c r="O280" s="466">
        <f t="shared" ca="1" si="126"/>
        <v>25.124993737788689</v>
      </c>
      <c r="P280" s="466">
        <f t="shared" ca="1" si="127"/>
        <v>49.532839506172841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IFERROR(__xludf.DUMMYFUNCTION("IMPORTRANGE(""https://docs.google.com/spreadsheets/d/1MeEWN-I1oV_STSDYn1IFDPWt_1FKiwhDph83XaGc0o0/edit?usp=sharing"",""งบพรบ!DI24"")"),199610)</f>
        <v>199610</v>
      </c>
      <c r="M282" s="93">
        <f ca="1">IFERROR(__xludf.DUMMYFUNCTION("IMPORTRANGE(""https://docs.google.com/spreadsheets/d/1MeEWN-I1oV_STSDYn1IFDPWt_1FKiwhDph83XaGc0o0/edit?usp=sharing"",""งบพรบ!DN24"")"),101250)</f>
        <v>101250</v>
      </c>
      <c r="N282" s="93">
        <f ca="1">IFERROR(__xludf.DUMMYFUNCTION("IMPORTRANGE(""https://docs.google.com/spreadsheets/d/1MeEWN-I1oV_STSDYn1IFDPWt_1FKiwhDph83XaGc0o0/edit?usp=sharing"",""งบพรบ!DP24"")"),50152)</f>
        <v>50152</v>
      </c>
      <c r="O282" s="93">
        <f t="shared" ca="1" si="126"/>
        <v>25.124993737788689</v>
      </c>
      <c r="P282" s="93">
        <f t="shared" ca="1" si="127"/>
        <v>49.532839506172841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IFERROR(__xludf.DUMMYFUNCTION("IMPORTRANGE(""https://docs.google.com/spreadsheets/d/1MeEWN-I1oV_STSDYn1IFDPWt_1FKiwhDph83XaGc0o0/edit?usp=sharing"",""งบพรบ!DL24"")"),0)</f>
        <v>0</v>
      </c>
      <c r="M285" s="93">
        <f ca="1">IFERROR(__xludf.DUMMYFUNCTION("IMPORTRANGE(""https://docs.google.com/spreadsheets/d/1MeEWN-I1oV_STSDYn1IFDPWt_1FKiwhDph83XaGc0o0/edit?usp=sharing"",""งบพรบ!DO24"")"),0)</f>
        <v>0</v>
      </c>
      <c r="N285" s="93">
        <f ca="1">IFERROR(__xludf.DUMMYFUNCTION("IMPORTRANGE(""https://docs.google.com/spreadsheets/d/1MeEWN-I1oV_STSDYn1IFDPWt_1FKiwhDph83XaGc0o0/edit?usp=sharing"",""งบพรบ!DQ24"")"),0)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IFERROR(__xludf.DUMMYFUNCTION("IMPORTRANGE(""https://docs.google.com/spreadsheets/d/1QqKyyYR6Q21VydFLVH3TRQUabQu_ym0Zz7PgGX0-kHA/edit?usp=sharing"",""แผน!EC24"")"),100)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IFERROR(__xludf.DUMMYFUNCTION("IMPORTRANGE(""https://docs.google.com/spreadsheets/d/1QqKyyYR6Q21VydFLVH3TRQUabQu_ym0Zz7PgGX0-kHA/edit?usp=sharing"",""แผน!EB24"")"),10)</f>
        <v>10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IFERROR(__xludf.DUMMYFUNCTION("IMPORTRANGE(""https://docs.google.com/spreadsheets/d/1QqKyyYR6Q21VydFLVH3TRQUabQu_ym0Zz7PgGX0-kHA/edit?usp=sharing"",""แผน!EB24"")"),10)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IFERROR(__xludf.DUMMYFUNCTION("IMPORTRANGE(""https://docs.google.com/spreadsheets/d/1QqKyyYR6Q21VydFLVH3TRQUabQu_ym0Zz7PgGX0-kHA/edit?usp=sharing"",""แผน!EB24"")"),10)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IFERROR(__xludf.DUMMYFUNCTION("IMPORTRANGE(""https://docs.google.com/spreadsheets/d/1QqKyyYR6Q21VydFLVH3TRQUabQu_ym0Zz7PgGX0-kHA/edit?usp=sharing"",""แผน!EB24"")"),10)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IFERROR(__xludf.DUMMYFUNCTION("IMPORTRANGE(""https://docs.google.com/spreadsheets/d/1QqKyyYR6Q21VydFLVH3TRQUabQu_ym0Zz7PgGX0-kHA/edit?usp=sharing"",""แผน!EB24"")"),10)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114120</v>
      </c>
      <c r="N298" s="155">
        <f t="shared" ca="1" si="135"/>
        <v>86888</v>
      </c>
      <c r="O298" s="155">
        <f t="shared" ref="O298:O306" ca="1" si="136">IF(L298&gt;0,N298*100/L298,0)</f>
        <v>38.548358473824315</v>
      </c>
      <c r="P298" s="155">
        <f t="shared" ref="P298:P306" ca="1" si="137">IF(M298&gt;0,N298*100/M298,0)</f>
        <v>76.137399228881876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225400</v>
      </c>
      <c r="M300" s="93">
        <f t="shared" ca="1" si="138"/>
        <v>114120</v>
      </c>
      <c r="N300" s="93">
        <f t="shared" ca="1" si="138"/>
        <v>86888</v>
      </c>
      <c r="O300" s="93">
        <f t="shared" ca="1" si="136"/>
        <v>38.548358473824315</v>
      </c>
      <c r="P300" s="93">
        <f t="shared" ca="1" si="137"/>
        <v>76.137399228881876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114120</v>
      </c>
      <c r="N301" s="466">
        <f t="shared" ca="1" si="139"/>
        <v>86888</v>
      </c>
      <c r="O301" s="466">
        <f t="shared" ca="1" si="136"/>
        <v>38.548358473824315</v>
      </c>
      <c r="P301" s="466">
        <f t="shared" ca="1" si="137"/>
        <v>76.137399228881876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IFERROR(__xludf.DUMMYFUNCTION("IMPORTRANGE(""https://docs.google.com/spreadsheets/d/1MeEWN-I1oV_STSDYn1IFDPWt_1FKiwhDph83XaGc0o0/edit?usp=sharing"",""งบพรบ!DS24"")"),225400)</f>
        <v>225400</v>
      </c>
      <c r="M303" s="93">
        <f ca="1">IFERROR(__xludf.DUMMYFUNCTION("IMPORTRANGE(""https://docs.google.com/spreadsheets/d/1MeEWN-I1oV_STSDYn1IFDPWt_1FKiwhDph83XaGc0o0/edit?usp=sharing"",""งบพรบ!DX24"")"),114120)</f>
        <v>114120</v>
      </c>
      <c r="N303" s="93">
        <f ca="1">IFERROR(__xludf.DUMMYFUNCTION("IMPORTRANGE(""https://docs.google.com/spreadsheets/d/1MeEWN-I1oV_STSDYn1IFDPWt_1FKiwhDph83XaGc0o0/edit?usp=sharing"",""งบพรบ!DZ24"")"),86888)</f>
        <v>86888</v>
      </c>
      <c r="O303" s="93">
        <f t="shared" ca="1" si="136"/>
        <v>38.548358473824315</v>
      </c>
      <c r="P303" s="93">
        <f t="shared" ca="1" si="137"/>
        <v>76.137399228881876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IFERROR(__xludf.DUMMYFUNCTION("IMPORTRANGE(""https://docs.google.com/spreadsheets/d/1MeEWN-I1oV_STSDYn1IFDPWt_1FKiwhDph83XaGc0o0/edit?usp=sharing"",""งบพรบ!DV24"")"),0)</f>
        <v>0</v>
      </c>
      <c r="M306" s="93">
        <f ca="1">IFERROR(__xludf.DUMMYFUNCTION("IMPORTRANGE(""https://docs.google.com/spreadsheets/d/1MeEWN-I1oV_STSDYn1IFDPWt_1FKiwhDph83XaGc0o0/edit?usp=sharing"",""งบพรบ!DY24"")"),0)</f>
        <v>0</v>
      </c>
      <c r="N306" s="93">
        <f ca="1">IFERROR(__xludf.DUMMYFUNCTION("IMPORTRANGE(""https://docs.google.com/spreadsheets/d/1MeEWN-I1oV_STSDYn1IFDPWt_1FKiwhDph83XaGc0o0/edit?usp=sharing"",""งบพรบ!EA24"")"),0)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/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IFERROR(__xludf.DUMMYFUNCTION("IMPORTRANGE(""https://docs.google.com/spreadsheets/d/1QqKyyYR6Q21VydFLVH3TRQUabQu_ym0Zz7PgGX0-kHA/edit?usp=sharing"",""แผน!EE24"")"),4)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IFERROR(__xludf.DUMMYFUNCTION("IMPORTRANGE(""https://docs.google.com/spreadsheets/d/1MeEWN-I1oV_STSDYn1IFDPWt_1FKiwhDph83XaGc0o0/edit?usp=sharing"",""งบพรบ!EC24"")"),0)</f>
        <v>0</v>
      </c>
      <c r="M320" s="93">
        <f ca="1">IFERROR(__xludf.DUMMYFUNCTION("IMPORTRANGE(""https://docs.google.com/spreadsheets/d/1MeEWN-I1oV_STSDYn1IFDPWt_1FKiwhDph83XaGc0o0/edit?usp=sharing"",""งบพรบ!EH24"")"),0)</f>
        <v>0</v>
      </c>
      <c r="N320" s="93">
        <f ca="1">IFERROR(__xludf.DUMMYFUNCTION("IMPORTRANGE(""https://docs.google.com/spreadsheets/d/1MeEWN-I1oV_STSDYn1IFDPWt_1FKiwhDph83XaGc0o0/edit?usp=sharing"",""งบพรบ!EJ24"")"),0)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IFERROR(__xludf.DUMMYFUNCTION("IMPORTRANGE(""https://docs.google.com/spreadsheets/d/1MeEWN-I1oV_STSDYn1IFDPWt_1FKiwhDph83XaGc0o0/edit?usp=sharing"",""งบพรบ!EF24"")"),0)</f>
        <v>0</v>
      </c>
      <c r="M323" s="93">
        <f ca="1">IFERROR(__xludf.DUMMYFUNCTION("IMPORTRANGE(""https://docs.google.com/spreadsheets/d/1MeEWN-I1oV_STSDYn1IFDPWt_1FKiwhDph83XaGc0o0/edit?usp=sharing"",""งบพรบ!EI24"")"),0)</f>
        <v>0</v>
      </c>
      <c r="N323" s="93">
        <f ca="1">IFERROR(__xludf.DUMMYFUNCTION("IMPORTRANGE(""https://docs.google.com/spreadsheets/d/1MeEWN-I1oV_STSDYn1IFDPWt_1FKiwhDph83XaGc0o0/edit?usp=sharing"",""งบพรบ!EK24"")"),0)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IFERROR(__xludf.DUMMYFUNCTION("IMPORTRANGE(""https://docs.google.com/spreadsheets/d/1QqKyyYR6Q21VydFLVH3TRQUabQu_ym0Zz7PgGX0-kHA/edit?usp=sharing"",""แผน!EF24"")"),0)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IFERROR(__xludf.DUMMYFUNCTION("IMPORTRANGE(""https://docs.google.com/spreadsheets/d/1QqKyyYR6Q21VydFLVH3TRQUabQu_ym0Zz7PgGX0-kHA/edit?usp=sharing"",""แผน!EG24"")"),1700)</f>
        <v>1700</v>
      </c>
      <c r="J327" s="413">
        <f ca="1">J338+J341+J342+J343</f>
        <v>848</v>
      </c>
      <c r="K327" s="414">
        <f ca="1">IF(I327&gt;0,J327*100/I327,0)</f>
        <v>49.882352941176471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85000</v>
      </c>
      <c r="N328" s="155">
        <f t="shared" ca="1" si="149"/>
        <v>56080</v>
      </c>
      <c r="O328" s="155">
        <f t="shared" ref="O328:O336" ca="1" si="150">IF(L328&gt;0,N328*100/L328,0)</f>
        <v>32.988235294117644</v>
      </c>
      <c r="P328" s="155">
        <f t="shared" ref="P328:P336" ca="1" si="151">IF(M328&gt;0,N328*100/M328,0)</f>
        <v>65.976470588235287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170000</v>
      </c>
      <c r="M330" s="93">
        <f t="shared" ca="1" si="152"/>
        <v>85000</v>
      </c>
      <c r="N330" s="93">
        <f t="shared" ca="1" si="152"/>
        <v>56080</v>
      </c>
      <c r="O330" s="93">
        <f t="shared" ca="1" si="150"/>
        <v>32.988235294117644</v>
      </c>
      <c r="P330" s="93">
        <f t="shared" ca="1" si="151"/>
        <v>65.976470588235287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85000</v>
      </c>
      <c r="N331" s="466">
        <f t="shared" ca="1" si="153"/>
        <v>56080</v>
      </c>
      <c r="O331" s="466">
        <f t="shared" ca="1" si="150"/>
        <v>32.988235294117644</v>
      </c>
      <c r="P331" s="466">
        <f t="shared" ca="1" si="151"/>
        <v>65.976470588235287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IFERROR(__xludf.DUMMYFUNCTION("IMPORTRANGE(""https://docs.google.com/spreadsheets/d/1MeEWN-I1oV_STSDYn1IFDPWt_1FKiwhDph83XaGc0o0/edit?usp=sharing"",""งบพรบ!EM24"")"),170000)</f>
        <v>170000</v>
      </c>
      <c r="M333" s="93">
        <f ca="1">IFERROR(__xludf.DUMMYFUNCTION("IMPORTRANGE(""https://docs.google.com/spreadsheets/d/1MeEWN-I1oV_STSDYn1IFDPWt_1FKiwhDph83XaGc0o0/edit?usp=sharing"",""งบพรบ!ER24"")"),85000)</f>
        <v>85000</v>
      </c>
      <c r="N333" s="93">
        <f ca="1">IFERROR(__xludf.DUMMYFUNCTION("IMPORTRANGE(""https://docs.google.com/spreadsheets/d/1MeEWN-I1oV_STSDYn1IFDPWt_1FKiwhDph83XaGc0o0/edit?usp=sharing"",""งบพรบ!ET24"")"),56080)</f>
        <v>56080</v>
      </c>
      <c r="O333" s="93">
        <f t="shared" ca="1" si="150"/>
        <v>32.988235294117644</v>
      </c>
      <c r="P333" s="93">
        <f t="shared" ca="1" si="151"/>
        <v>65.976470588235287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IFERROR(__xludf.DUMMYFUNCTION("IMPORTRANGE(""https://docs.google.com/spreadsheets/d/1MeEWN-I1oV_STSDYn1IFDPWt_1FKiwhDph83XaGc0o0/edit?usp=sharing"",""งบพรบ!EP24"")"),0)</f>
        <v>0</v>
      </c>
      <c r="M336" s="93">
        <f ca="1">IFERROR(__xludf.DUMMYFUNCTION("IMPORTRANGE(""https://docs.google.com/spreadsheets/d/1MeEWN-I1oV_STSDYn1IFDPWt_1FKiwhDph83XaGc0o0/edit?usp=sharing"",""งบพรบ!ES24"")"),0)</f>
        <v>0</v>
      </c>
      <c r="N336" s="93">
        <f ca="1">IFERROR(__xludf.DUMMYFUNCTION("IMPORTRANGE(""https://docs.google.com/spreadsheets/d/1MeEWN-I1oV_STSDYn1IFDPWt_1FKiwhDph83XaGc0o0/edit?usp=sharing"",""งบพรบ!EU24"")"),0)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IFERROR(__xludf.DUMMYFUNCTION("IMPORTRANGE(""https://docs.google.com/spreadsheets/d/1QqKyyYR6Q21VydFLVH3TRQUabQu_ym0Zz7PgGX0-kHA/edit?usp=sharing"",""แผน!EG24"")"),1700)</f>
        <v>1700</v>
      </c>
      <c r="J338" s="270">
        <f ca="1">IFERROR(__xludf.DUMMYFUNCTION("IMPORTRANGE(""https://docs.google.com/spreadsheets/d/1kVcqe37tkHyjCSG3S0O1AXqVkqjo8mSIZil3BcpIysc/edit?usp=sharing"",""ศูนย์!D24"")"),722)</f>
        <v>722</v>
      </c>
      <c r="K338" s="466">
        <f ca="1">IF(I338&gt;0,J338*100/I338,0)</f>
        <v>42.470588235294116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IFERROR(__xludf.DUMMYFUNCTION("IMPORTRANGE(""https://docs.google.com/spreadsheets/d/1QqKyyYR6Q21VydFLVH3TRQUabQu_ym0Zz7PgGX0-kHA/edit?usp=sharing"",""แผน!EH24"")"),6)</f>
        <v>6</v>
      </c>
      <c r="J340" s="270">
        <f ca="1">IFERROR(__xludf.DUMMYFUNCTION("IMPORTRANGE(""https://docs.google.com/spreadsheets/d/1kVcqe37tkHyjCSG3S0O1AXqVkqjo8mSIZil3BcpIysc/edit?usp=sharing"",""ศูนย์!E24"")"),1)</f>
        <v>1</v>
      </c>
      <c r="K340" s="466">
        <f ca="1">IF(I340&gt;0,J340*100/I340,0)</f>
        <v>16.666666666666668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IFERROR(__xludf.DUMMYFUNCTION("IMPORTRANGE(""https://docs.google.com/spreadsheets/d/1kVcqe37tkHyjCSG3S0O1AXqVkqjo8mSIZil3BcpIysc/edit?usp=sharing"",""ศูนย์!F24"")"),126)</f>
        <v>126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IFERROR(__xludf.DUMMYFUNCTION("IMPORTRANGE(""https://docs.google.com/spreadsheets/d/1kVcqe37tkHyjCSG3S0O1AXqVkqjo8mSIZil3BcpIysc/edit?usp=sharing"",""ศูนย์!H24"")"),0)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614330</v>
      </c>
      <c r="M345" s="155">
        <f t="shared" ca="1" si="155"/>
        <v>341270</v>
      </c>
      <c r="N345" s="155">
        <f t="shared" ca="1" si="155"/>
        <v>203659.84</v>
      </c>
      <c r="O345" s="155">
        <f t="shared" ref="O345:O353" ca="1" si="156">IF(L345&gt;0,N345*100/L345,0)</f>
        <v>33.151537447300313</v>
      </c>
      <c r="P345" s="155">
        <f t="shared" ref="P345:P353" ca="1" si="157">IF(M345&gt;0,N345*100/M345,0)</f>
        <v>59.677041638585287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614330</v>
      </c>
      <c r="M347" s="93">
        <f t="shared" ca="1" si="158"/>
        <v>341270</v>
      </c>
      <c r="N347" s="93">
        <f t="shared" ca="1" si="158"/>
        <v>203659.84</v>
      </c>
      <c r="O347" s="93">
        <f t="shared" ca="1" si="156"/>
        <v>33.151537447300313</v>
      </c>
      <c r="P347" s="93">
        <f t="shared" ca="1" si="157"/>
        <v>59.677041638585287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545530</v>
      </c>
      <c r="M348" s="466">
        <f t="shared" ca="1" si="159"/>
        <v>272770</v>
      </c>
      <c r="N348" s="466">
        <f t="shared" ca="1" si="159"/>
        <v>135159.84</v>
      </c>
      <c r="O348" s="466">
        <f t="shared" ca="1" si="156"/>
        <v>24.775876670393927</v>
      </c>
      <c r="P348" s="466">
        <f t="shared" ca="1" si="157"/>
        <v>49.550845034277962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IFERROR(__xludf.DUMMYFUNCTION("IMPORTRANGE(""https://docs.google.com/spreadsheets/d/1MeEWN-I1oV_STSDYn1IFDPWt_1FKiwhDph83XaGc0o0/edit?usp=sharing"",""งบพรบ!EW24"")"),545530)</f>
        <v>545530</v>
      </c>
      <c r="M350" s="93">
        <f ca="1">IFERROR(__xludf.DUMMYFUNCTION("IMPORTRANGE(""https://docs.google.com/spreadsheets/d/1MeEWN-I1oV_STSDYn1IFDPWt_1FKiwhDph83XaGc0o0/edit?usp=sharing"",""งบพรบ!FB24"")"),272770)</f>
        <v>272770</v>
      </c>
      <c r="N350" s="93">
        <f ca="1">IFERROR(__xludf.DUMMYFUNCTION("IMPORTRANGE(""https://docs.google.com/spreadsheets/d/1MeEWN-I1oV_STSDYn1IFDPWt_1FKiwhDph83XaGc0o0/edit?usp=sharing"",""งบพรบ!FD24"")"),135159.84)</f>
        <v>135159.84</v>
      </c>
      <c r="O350" s="93">
        <f t="shared" ca="1" si="156"/>
        <v>24.775876670393927</v>
      </c>
      <c r="P350" s="93">
        <f t="shared" ca="1" si="157"/>
        <v>49.550845034277962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68500</v>
      </c>
      <c r="N351" s="466">
        <f t="shared" ca="1" si="160"/>
        <v>68500</v>
      </c>
      <c r="O351" s="466">
        <f t="shared" ca="1" si="156"/>
        <v>99.563953488372093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IFERROR(__xludf.DUMMYFUNCTION("IMPORTRANGE(""https://docs.google.com/spreadsheets/d/1MeEWN-I1oV_STSDYn1IFDPWt_1FKiwhDph83XaGc0o0/edit?usp=sharing"",""งบพรบ!EZ24"")"),68800)</f>
        <v>68800</v>
      </c>
      <c r="M353" s="93">
        <f ca="1">IFERROR(__xludf.DUMMYFUNCTION("IMPORTRANGE(""https://docs.google.com/spreadsheets/d/1MeEWN-I1oV_STSDYn1IFDPWt_1FKiwhDph83XaGc0o0/edit?usp=sharing"",""งบพรบ!FC24"")"),68500)</f>
        <v>68500</v>
      </c>
      <c r="N353" s="93">
        <f ca="1">IFERROR(__xludf.DUMMYFUNCTION("IMPORTRANGE(""https://docs.google.com/spreadsheets/d/1MeEWN-I1oV_STSDYn1IFDPWt_1FKiwhDph83XaGc0o0/edit?usp=sharing"",""งบพรบ!FE24"")"),68500)</f>
        <v>68500</v>
      </c>
      <c r="O353" s="93">
        <f t="shared" ca="1" si="156"/>
        <v>99.563953488372093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IFERROR(__xludf.DUMMYFUNCTION("IMPORTRANGE(""https://docs.google.com/spreadsheets/d/1QqKyyYR6Q21VydFLVH3TRQUabQu_ym0Zz7PgGX0-kHA/edit?usp=sharing"",""แผน!EP24"")"),80)</f>
        <v>80</v>
      </c>
      <c r="J355" s="433">
        <f ca="1">J362</f>
        <v>7</v>
      </c>
      <c r="K355" s="434">
        <f ca="1">IF(I355&gt;0,J355*100/I355,0)</f>
        <v>8.75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IFERROR(__xludf.DUMMYFUNCTION("IMPORTRANGE(""https://docs.google.com/spreadsheets/d/1XWAQStnk-4SwqDmLtmXYiTMKHgktTP8We1SCoS47DrQ/edit?usp=sharing"",""จัดที่ดิน!W24"")"),33)</f>
        <v>33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IFERROR(__xludf.DUMMYFUNCTION("IMPORTRANGE(""https://docs.google.com/spreadsheets/d/1QqKyyYR6Q21VydFLVH3TRQUabQu_ym0Zz7PgGX0-kHA/edit?usp=sharing"",""แผน!EO24"")"),800)</f>
        <v>800</v>
      </c>
      <c r="J359" s="270">
        <f ca="1">IFERROR(__xludf.DUMMYFUNCTION("IMPORTRANGE(""https://docs.google.com/spreadsheets/d/1XWAQStnk-4SwqDmLtmXYiTMKHgktTP8We1SCoS47DrQ/edit?usp=sharing"",""จัดที่ดิน!X24"")"),276.43)</f>
        <v>276.43</v>
      </c>
      <c r="K359" s="466">
        <f t="shared" ca="1" si="161"/>
        <v>34.553750000000001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IFERROR(__xludf.DUMMYFUNCTION("IMPORTRANGE(""https://docs.google.com/spreadsheets/d/1QqKyyYR6Q21VydFLVH3TRQUabQu_ym0Zz7PgGX0-kHA/edit?usp=sharing"",""แผน!EP24"")"),80)</f>
        <v>80</v>
      </c>
      <c r="J360" s="270">
        <f ca="1">IFERROR(__xludf.DUMMYFUNCTION("IMPORTRANGE(""https://docs.google.com/spreadsheets/d/1XWAQStnk-4SwqDmLtmXYiTMKHgktTP8We1SCoS47DrQ/edit?usp=sharing"",""จัดที่ดิน!Y24"")"),18)</f>
        <v>18</v>
      </c>
      <c r="K360" s="466">
        <f t="shared" ca="1" si="161"/>
        <v>22.5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IFERROR(__xludf.DUMMYFUNCTION("IMPORTRANGE(""https://docs.google.com/spreadsheets/d/1XWAQStnk-4SwqDmLtmXYiTMKHgktTP8We1SCoS47DrQ/edit?usp=sharing"",""จัดที่ดิน!Z24"")"),166.83)</f>
        <v>166.83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IFERROR(__xludf.DUMMYFUNCTION("IMPORTRANGE(""https://docs.google.com/spreadsheets/d/1QqKyyYR6Q21VydFLVH3TRQUabQu_ym0Zz7PgGX0-kHA/edit?usp=sharing"",""แผน!EP24"")"),80)</f>
        <v>80</v>
      </c>
      <c r="J362" s="270">
        <f ca="1">IFERROR(__xludf.DUMMYFUNCTION("IMPORTRANGE(""https://docs.google.com/spreadsheets/d/1XWAQStnk-4SwqDmLtmXYiTMKHgktTP8We1SCoS47DrQ/edit?usp=sharing"",""จัดที่ดิน!AA24"")"),7)</f>
        <v>7</v>
      </c>
      <c r="K362" s="466">
        <f t="shared" ca="1" si="161"/>
        <v>8.75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IFERROR(__xludf.DUMMYFUNCTION("IMPORTRANGE(""https://docs.google.com/spreadsheets/d/1XWAQStnk-4SwqDmLtmXYiTMKHgktTP8We1SCoS47DrQ/edit?usp=sharing"",""จัดที่ดิน!AB24"")"),57.8499999999999)</f>
        <v>57.849999999999902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380</v>
      </c>
      <c r="J364" s="447">
        <f t="shared" ca="1" si="162"/>
        <v>142</v>
      </c>
      <c r="K364" s="448">
        <f t="shared" ca="1" si="161"/>
        <v>37.368421052631582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IFERROR(__xludf.DUMMYFUNCTION("IMPORTRANGE(""https://docs.google.com/spreadsheets/d/1QqKyyYR6Q21VydFLVH3TRQUabQu_ym0Zz7PgGX0-kHA/edit?usp=sharing"",""แผน!EJ24"")"),50)</f>
        <v>50</v>
      </c>
      <c r="J365" s="459">
        <f ca="1">J372</f>
        <v>3</v>
      </c>
      <c r="K365" s="460">
        <f t="shared" ca="1" si="161"/>
        <v>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IFERROR(__xludf.DUMMYFUNCTION("IMPORTRANGE(""https://docs.google.com/spreadsheets/d/1XWAQStnk-4SwqDmLtmXYiTMKHgktTP8We1SCoS47DrQ/edit?usp=sharing"",""จัดที่ดิน!E24"")"),29)</f>
        <v>29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IFERROR(__xludf.DUMMYFUNCTION("IMPORTRANGE(""https://docs.google.com/spreadsheets/d/1QqKyyYR6Q21VydFLVH3TRQUabQu_ym0Zz7PgGX0-kHA/edit?usp=sharing"",""แผน!EI24"")"),500)</f>
        <v>500</v>
      </c>
      <c r="J369" s="270">
        <f ca="1">IFERROR(__xludf.DUMMYFUNCTION("IMPORTRANGE(""https://docs.google.com/spreadsheets/d/1XWAQStnk-4SwqDmLtmXYiTMKHgktTP8We1SCoS47DrQ/edit?usp=sharing"",""จัดที่ดิน!F24"")"),253.69)</f>
        <v>253.69</v>
      </c>
      <c r="K369" s="466">
        <f t="shared" ca="1" si="163"/>
        <v>50.738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IFERROR(__xludf.DUMMYFUNCTION("IMPORTRANGE(""https://docs.google.com/spreadsheets/d/1QqKyyYR6Q21VydFLVH3TRQUabQu_ym0Zz7PgGX0-kHA/edit?usp=sharing"",""แผน!EJ24"")"),50)</f>
        <v>50</v>
      </c>
      <c r="J370" s="270">
        <f ca="1">IFERROR(__xludf.DUMMYFUNCTION("IMPORTRANGE(""https://docs.google.com/spreadsheets/d/1XWAQStnk-4SwqDmLtmXYiTMKHgktTP8We1SCoS47DrQ/edit?usp=sharing"",""จัดที่ดิน!G24"")"),15)</f>
        <v>15</v>
      </c>
      <c r="K370" s="466">
        <f t="shared" ca="1" si="163"/>
        <v>30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IFERROR(__xludf.DUMMYFUNCTION("IMPORTRANGE(""https://docs.google.com/spreadsheets/d/1XWAQStnk-4SwqDmLtmXYiTMKHgktTP8We1SCoS47DrQ/edit?usp=sharing"",""จัดที่ดิน!H24"")"),150.65)</f>
        <v>150.65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IFERROR(__xludf.DUMMYFUNCTION("IMPORTRANGE(""https://docs.google.com/spreadsheets/d/1QqKyyYR6Q21VydFLVH3TRQUabQu_ym0Zz7PgGX0-kHA/edit?usp=sharing"",""แผน!EJ24"")"),50)</f>
        <v>50</v>
      </c>
      <c r="J372" s="270">
        <f ca="1">IFERROR(__xludf.DUMMYFUNCTION("IMPORTRANGE(""https://docs.google.com/spreadsheets/d/1XWAQStnk-4SwqDmLtmXYiTMKHgktTP8We1SCoS47DrQ/edit?usp=sharing"",""จัดที่ดิน!I24"")"),3)</f>
        <v>3</v>
      </c>
      <c r="K372" s="466">
        <f t="shared" ca="1" si="163"/>
        <v>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IFERROR(__xludf.DUMMYFUNCTION("IMPORTRANGE(""https://docs.google.com/spreadsheets/d/1XWAQStnk-4SwqDmLtmXYiTMKHgktTP8We1SCoS47DrQ/edit?usp=sharing"",""จัดที่ดิน!J24"")"),35.11)</f>
        <v>35.11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IFERROR(__xludf.DUMMYFUNCTION("IMPORTRANGE(""https://docs.google.com/spreadsheets/d/1QqKyyYR6Q21VydFLVH3TRQUabQu_ym0Zz7PgGX0-kHA/edit?usp=sharing"",""แผน!EU24"")"),330)</f>
        <v>330</v>
      </c>
      <c r="J374" s="459">
        <f ca="1">J381</f>
        <v>139</v>
      </c>
      <c r="K374" s="460">
        <f t="shared" ca="1" si="163"/>
        <v>42.121212121212125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IFERROR(__xludf.DUMMYFUNCTION("IMPORTRANGE(""https://docs.google.com/spreadsheets/d/1XWAQStnk-4SwqDmLtmXYiTMKHgktTP8We1SCoS47DrQ/edit?usp=sharing"",""จัดที่ดิน!AH24"")"),4)</f>
        <v>4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IFERROR(__xludf.DUMMYFUNCTION("IMPORTRANGE(""https://docs.google.com/spreadsheets/d/1QqKyyYR6Q21VydFLVH3TRQUabQu_ym0Zz7PgGX0-kHA/edit?usp=sharing"",""แผน!ET24"")"),300)</f>
        <v>300</v>
      </c>
      <c r="J378" s="270">
        <f ca="1">IFERROR(__xludf.DUMMYFUNCTION("IMPORTRANGE(""https://docs.google.com/spreadsheets/d/1XWAQStnk-4SwqDmLtmXYiTMKHgktTP8We1SCoS47DrQ/edit?usp=sharing"",""จัดที่ดิน!AI24"")"),22.74)</f>
        <v>22.74</v>
      </c>
      <c r="K378" s="466">
        <f t="shared" ca="1" si="164"/>
        <v>7.58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IFERROR(__xludf.DUMMYFUNCTION("IMPORTRANGE(""https://docs.google.com/spreadsheets/d/1QqKyyYR6Q21VydFLVH3TRQUabQu_ym0Zz7PgGX0-kHA/edit?usp=sharing"",""แผน!EU24"")"),330)</f>
        <v>330</v>
      </c>
      <c r="J379" s="270">
        <f ca="1">IFERROR(__xludf.DUMMYFUNCTION("IMPORTRANGE(""https://docs.google.com/spreadsheets/d/1XWAQStnk-4SwqDmLtmXYiTMKHgktTP8We1SCoS47DrQ/edit?usp=sharing"",""จัดที่ดิน!AJ24"")"),138)</f>
        <v>138</v>
      </c>
      <c r="K379" s="466">
        <f t="shared" ca="1" si="164"/>
        <v>41.81818181818182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IFERROR(__xludf.DUMMYFUNCTION("IMPORTRANGE(""https://docs.google.com/spreadsheets/d/1XWAQStnk-4SwqDmLtmXYiTMKHgktTP8We1SCoS47DrQ/edit?usp=sharing"",""จัดที่ดิน!AK24"")"),1295.93)</f>
        <v>1295.93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IFERROR(__xludf.DUMMYFUNCTION("IMPORTRANGE(""https://docs.google.com/spreadsheets/d/1QqKyyYR6Q21VydFLVH3TRQUabQu_ym0Zz7PgGX0-kHA/edit?usp=sharing"",""แผน!EU24"")"),330)</f>
        <v>330</v>
      </c>
      <c r="J381" s="270">
        <f ca="1">IFERROR(__xludf.DUMMYFUNCTION("IMPORTRANGE(""https://docs.google.com/spreadsheets/d/1XWAQStnk-4SwqDmLtmXYiTMKHgktTP8We1SCoS47DrQ/edit?usp=sharing"",""จัดที่ดิน!AL24"")"),139)</f>
        <v>139</v>
      </c>
      <c r="K381" s="466">
        <f t="shared" ca="1" si="164"/>
        <v>42.121212121212125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IFERROR(__xludf.DUMMYFUNCTION("IMPORTRANGE(""https://docs.google.com/spreadsheets/d/1XWAQStnk-4SwqDmLtmXYiTMKHgktTP8We1SCoS47DrQ/edit?usp=sharing"",""จัดที่ดิน!AM24"")"),1302.49)</f>
        <v>1302.49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IFERROR(__xludf.DUMMYFUNCTION("IMPORTRANGE(""https://docs.google.com/spreadsheets/d/1QqKyyYR6Q21VydFLVH3TRQUabQu_ym0Zz7PgGX0-kHA/edit?usp=sharing"",""แผน!EW24"")"),20)</f>
        <v>20</v>
      </c>
      <c r="J385" s="469">
        <f ca="1">IFERROR(__xludf.DUMMYFUNCTION("IMPORTRANGE(""https://docs.google.com/spreadsheets/d/1XWAQStnk-4SwqDmLtmXYiTMKHgktTP8We1SCoS47DrQ/edit?usp=sharing"",""จัดที่ดิน!AP24"")"),0)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IFERROR(__xludf.DUMMYFUNCTION("IMPORTRANGE(""https://docs.google.com/spreadsheets/d/1MeEWN-I1oV_STSDYn1IFDPWt_1FKiwhDph83XaGc0o0/edit?usp=sharing"",""งบพรบ!FG24"")"),0)</f>
        <v>0</v>
      </c>
      <c r="M394" s="93">
        <f ca="1">IFERROR(__xludf.DUMMYFUNCTION("IMPORTRANGE(""https://docs.google.com/spreadsheets/d/1MeEWN-I1oV_STSDYn1IFDPWt_1FKiwhDph83XaGc0o0/edit?usp=sharing"",""งบพรบ!FL24"")"),0)</f>
        <v>0</v>
      </c>
      <c r="N394" s="93">
        <f ca="1">IFERROR(__xludf.DUMMYFUNCTION("IMPORTRANGE(""https://docs.google.com/spreadsheets/d/1MeEWN-I1oV_STSDYn1IFDPWt_1FKiwhDph83XaGc0o0/edit?usp=sharing"",""งบพรบ!FN24"")"),0)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IFERROR(__xludf.DUMMYFUNCTION("IMPORTRANGE(""https://docs.google.com/spreadsheets/d/1MeEWN-I1oV_STSDYn1IFDPWt_1FKiwhDph83XaGc0o0/edit?usp=sharing"",""งบพรบ!FJ24"")"),0)</f>
        <v>0</v>
      </c>
      <c r="M397" s="93">
        <f ca="1">IFERROR(__xludf.DUMMYFUNCTION("IMPORTRANGE(""https://docs.google.com/spreadsheets/d/1MeEWN-I1oV_STSDYn1IFDPWt_1FKiwhDph83XaGc0o0/edit?usp=sharing"",""งบพรบ!FM24"")"),0)</f>
        <v>0</v>
      </c>
      <c r="N397" s="93">
        <f ca="1">IFERROR(__xludf.DUMMYFUNCTION("IMPORTRANGE(""https://docs.google.com/spreadsheets/d/1MeEWN-I1oV_STSDYn1IFDPWt_1FKiwhDph83XaGc0o0/edit?usp=sharing"",""งบพรบ!FO24"")"),0)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IFERROR(__xludf.DUMMYFUNCTION("IMPORTRANGE(""https://docs.google.com/spreadsheets/d/1MeEWN-I1oV_STSDYn1IFDPWt_1FKiwhDph83XaGc0o0/edit?usp=sharing"",""งบพรบ!FQ24"")"),0)</f>
        <v>0</v>
      </c>
      <c r="M407" s="93">
        <f ca="1">IFERROR(__xludf.DUMMYFUNCTION("IMPORTRANGE(""https://docs.google.com/spreadsheets/d/1MeEWN-I1oV_STSDYn1IFDPWt_1FKiwhDph83XaGc0o0/edit?usp=sharing"",""งบพรบ!FV24"")"),0)</f>
        <v>0</v>
      </c>
      <c r="N407" s="93">
        <f ca="1">IFERROR(__xludf.DUMMYFUNCTION("IMPORTRANGE(""https://docs.google.com/spreadsheets/d/1MeEWN-I1oV_STSDYn1IFDPWt_1FKiwhDph83XaGc0o0/edit?usp=sharing"",""งบพรบ!FX24"")"),0)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IFERROR(__xludf.DUMMYFUNCTION("IMPORTRANGE(""https://docs.google.com/spreadsheets/d/1MeEWN-I1oV_STSDYn1IFDPWt_1FKiwhDph83XaGc0o0/edit?usp=sharing"",""งบพรบ!FT24"")"),0)</f>
        <v>0</v>
      </c>
      <c r="M410" s="93">
        <f ca="1">IFERROR(__xludf.DUMMYFUNCTION("IMPORTRANGE(""https://docs.google.com/spreadsheets/d/1MeEWN-I1oV_STSDYn1IFDPWt_1FKiwhDph83XaGc0o0/edit?usp=sharing"",""งบพรบ!FW24"")"),0)</f>
        <v>0</v>
      </c>
      <c r="N410" s="93">
        <f ca="1">IFERROR(__xludf.DUMMYFUNCTION("IMPORTRANGE(""https://docs.google.com/spreadsheets/d/1MeEWN-I1oV_STSDYn1IFDPWt_1FKiwhDph83XaGc0o0/edit?usp=sharing"",""งบพรบ!FY24"")"),0)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2262697</v>
      </c>
      <c r="M414" s="517">
        <f t="shared" si="181"/>
        <v>0</v>
      </c>
      <c r="N414" s="517">
        <f t="shared" si="181"/>
        <v>272791.16000000003</v>
      </c>
      <c r="O414" s="517">
        <f ca="1">IF(L414&gt;0,N414*100/L414,0)</f>
        <v>12.056018105826809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33090</v>
      </c>
      <c r="O419" s="155">
        <f t="shared" ref="O419:O424" ca="1" si="185">IF(L419&gt;0,N419*100/L419,0)</f>
        <v>42.067124332570557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33090</v>
      </c>
      <c r="O421" s="93">
        <f t="shared" ca="1" si="185"/>
        <v>42.067124332570557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33090</v>
      </c>
      <c r="O422" s="466">
        <f t="shared" ca="1" si="185"/>
        <v>42.067124332570557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IFERROR(__xludf.DUMMYFUNCTION("IMPORTRANGE(""https://docs.google.com/spreadsheets/d/1QqKyyYR6Q21VydFLVH3TRQUabQu_ym0Zz7PgGX0-kHA/edit?usp=sharing"",""แผน!EY24"")"),78660)</f>
        <v>78660</v>
      </c>
      <c r="M424" s="93">
        <v>0</v>
      </c>
      <c r="N424" s="93">
        <f>N425+N426+N427+N428</f>
        <v>33090</v>
      </c>
      <c r="O424" s="93">
        <f t="shared" ca="1" si="185"/>
        <v>42.067124332570557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33090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ca="1">I438+I440</f>
        <v>1</v>
      </c>
      <c r="J434" s="647">
        <f>J438+J439</f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IFERROR(__xludf.DUMMYFUNCTION("IMPORTRANGE(""https://docs.google.com/spreadsheets/d/1QqKyyYR6Q21VydFLVH3TRQUabQu_ym0Zz7PgGX0-kHA/edit?usp=sharing"",""แผน!FC24"")"),20)</f>
        <v>20</v>
      </c>
      <c r="J435" s="549">
        <v>10</v>
      </c>
      <c r="K435" s="466">
        <f t="shared" ca="1" si="192"/>
        <v>50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IFERROR(__xludf.DUMMYFUNCTION("IMPORTRANGE(""https://docs.google.com/spreadsheets/d/1QqKyyYR6Q21VydFLVH3TRQUabQu_ym0Zz7PgGX0-kHA/edit?usp=sharing"",""แผน!FD24"")"),0)</f>
        <v>0</v>
      </c>
      <c r="J437" s="549">
        <v>0</v>
      </c>
      <c r="K437" s="466">
        <f t="shared" ref="K437:K439" ca="1" si="193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IFERROR(__xludf.DUMMYFUNCTION("IMPORTRANGE(""https://docs.google.com/spreadsheets/d/1QqKyyYR6Q21VydFLVH3TRQUabQu_ym0Zz7PgGX0-kHA/edit?usp=sharing"",""แผน!FE24"")"),0)</f>
        <v>0</v>
      </c>
      <c r="J438" s="215">
        <v>0</v>
      </c>
      <c r="K438" s="466">
        <f t="shared" ca="1" si="193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IFERROR(__xludf.DUMMYFUNCTION("IMPORTRANGE(""https://docs.google.com/spreadsheets/d/1QqKyyYR6Q21VydFLVH3TRQUabQu_ym0Zz7PgGX0-kHA/edit?usp=sharing"",""แผน!FF24"")"),20)</f>
        <v>20</v>
      </c>
      <c r="J439" s="215">
        <v>0</v>
      </c>
      <c r="K439" s="466">
        <f t="shared" ca="1" si="193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IFERROR(__xludf.DUMMYFUNCTION("IMPORTRANGE(""https://docs.google.com/spreadsheets/d/1QqKyyYR6Q21VydFLVH3TRQUabQu_ym0Zz7PgGX0-kHA/edit?usp=sharing"",""แผน!FG24"")"),1)</f>
        <v>1</v>
      </c>
      <c r="J440" s="270">
        <v>0</v>
      </c>
      <c r="K440" s="466">
        <f ca="1">IF(I440&gt;0,J439*100/I440,0)</f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IFERROR(__xludf.DUMMYFUNCTION("IMPORTRANGE(""https://docs.google.com/spreadsheets/d/1QqKyyYR6Q21VydFLVH3TRQUabQu_ym0Zz7PgGX0-kHA/edit?usp=sharing"",""แผน!FH24"")"),0)</f>
        <v>0</v>
      </c>
      <c r="J441" s="270">
        <v>0</v>
      </c>
      <c r="K441" s="466">
        <f t="shared" ref="K441:K443" ca="1" si="194">IF(I441&gt;0,J441*100/I441,0)</f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55</v>
      </c>
      <c r="J442" s="555">
        <f t="shared" si="195"/>
        <v>55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110</v>
      </c>
      <c r="J443" s="533">
        <f t="shared" si="196"/>
        <v>110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365500</v>
      </c>
      <c r="M444" s="195">
        <f t="shared" si="197"/>
        <v>0</v>
      </c>
      <c r="N444" s="195">
        <f t="shared" si="197"/>
        <v>71890</v>
      </c>
      <c r="O444" s="195">
        <f t="shared" ref="O444:O449" ca="1" si="198">IF(L444&gt;0,N444*100/L444,0)</f>
        <v>19.668946648426811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365500</v>
      </c>
      <c r="M446" s="93">
        <f t="shared" si="200"/>
        <v>0</v>
      </c>
      <c r="N446" s="93">
        <f t="shared" si="200"/>
        <v>71890</v>
      </c>
      <c r="O446" s="93">
        <f t="shared" ca="1" si="198"/>
        <v>19.668946648426811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365500</v>
      </c>
      <c r="M447" s="466">
        <f t="shared" si="201"/>
        <v>0</v>
      </c>
      <c r="N447" s="466">
        <f t="shared" si="201"/>
        <v>71890</v>
      </c>
      <c r="O447" s="466">
        <f t="shared" ca="1" si="198"/>
        <v>19.668946648426811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IFERROR(__xludf.DUMMYFUNCTION("IMPORTRANGE(""https://docs.google.com/spreadsheets/d/1QqKyyYR6Q21VydFLVH3TRQUabQu_ym0Zz7PgGX0-kHA/edit?usp=sharing"",""แผน!FJ24"")"),365500)</f>
        <v>365500</v>
      </c>
      <c r="M449" s="93">
        <v>0</v>
      </c>
      <c r="N449" s="93">
        <f>N450+N451+N452+N453</f>
        <v>71890</v>
      </c>
      <c r="O449" s="93">
        <f t="shared" ca="1" si="198"/>
        <v>19.668946648426811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45890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26000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IFERROR(__xludf.DUMMYFUNCTION("IMPORTRANGE(""https://docs.google.com/spreadsheets/d/1QqKyyYR6Q21VydFLVH3TRQUabQu_ym0Zz7PgGX0-kHA/edit?usp=sharing"",""แผน!FN24"")"),55)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IFERROR(__xludf.DUMMYFUNCTION("IMPORTRANGE(""https://docs.google.com/spreadsheets/d/1QqKyyYR6Q21VydFLVH3TRQUabQu_ym0Zz7PgGX0-kHA/edit?usp=sharing"",""แผน!FO24"")"),110)</f>
        <v>110</v>
      </c>
      <c r="J462" s="215">
        <v>110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IFERROR(__xludf.DUMMYFUNCTION("IMPORTRANGE(""https://docs.google.com/spreadsheets/d/1QqKyyYR6Q21VydFLVH3TRQUabQu_ym0Zz7PgGX0-kHA/edit?usp=sharing"",""แผน!FO24"")"),110)</f>
        <v>110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IFERROR(__xludf.DUMMYFUNCTION("IMPORTRANGE(""https://docs.google.com/spreadsheets/d/1QqKyyYR6Q21VydFLVH3TRQUabQu_ym0Zz7PgGX0-kHA/edit?usp=sharing"",""แผน!FN24"")"),55)</f>
        <v>55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IFERROR(__xludf.DUMMYFUNCTION("IMPORTRANGE(""https://docs.google.com/spreadsheets/d/1QqKyyYR6Q21VydFLVH3TRQUabQu_ym0Zz7PgGX0-kHA/edit?usp=sharing"",""แผน!FX24"")"),131)</f>
        <v>131</v>
      </c>
      <c r="J465" s="555">
        <f>J485+J489+J492</f>
        <v>1</v>
      </c>
      <c r="K465" s="556">
        <f t="shared" ref="K465:K466" ca="1" si="205">IF(I465&gt;0,J465*100/I465,0)</f>
        <v>0.76335877862595425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IFERROR(__xludf.DUMMYFUNCTION("IMPORTRANGE(""https://docs.google.com/spreadsheets/d/1QqKyyYR6Q21VydFLVH3TRQUabQu_ym0Zz7PgGX0-kHA/edit?usp=sharing"",""แผน!FW24"")"),1300)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1170748</v>
      </c>
      <c r="M467" s="195">
        <f t="shared" si="206"/>
        <v>0</v>
      </c>
      <c r="N467" s="195">
        <f t="shared" si="206"/>
        <v>43520</v>
      </c>
      <c r="O467" s="195">
        <f t="shared" ref="O467:O472" ca="1" si="207">IF(L467&gt;0,N467*100/L467,0)</f>
        <v>3.7172816011643839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1170748</v>
      </c>
      <c r="M469" s="93">
        <f t="shared" si="209"/>
        <v>0</v>
      </c>
      <c r="N469" s="93">
        <f t="shared" si="209"/>
        <v>43520</v>
      </c>
      <c r="O469" s="93">
        <f t="shared" ca="1" si="207"/>
        <v>3.7172816011643839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1170748</v>
      </c>
      <c r="M470" s="466">
        <f t="shared" si="210"/>
        <v>0</v>
      </c>
      <c r="N470" s="466">
        <f t="shared" si="210"/>
        <v>43520</v>
      </c>
      <c r="O470" s="466">
        <f t="shared" ca="1" si="207"/>
        <v>3.7172816011643839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IFERROR(__xludf.DUMMYFUNCTION("IMPORTRANGE(""https://docs.google.com/spreadsheets/d/1QqKyyYR6Q21VydFLVH3TRQUabQu_ym0Zz7PgGX0-kHA/edit?usp=sharing"",""แผน!FS24"")"),1170748)</f>
        <v>1170748</v>
      </c>
      <c r="M472" s="93">
        <v>0</v>
      </c>
      <c r="N472" s="93">
        <f>N473+N474+N475+N476</f>
        <v>43520</v>
      </c>
      <c r="O472" s="93">
        <f t="shared" ca="1" si="207"/>
        <v>3.7172816011643839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17520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26000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IFERROR(__xludf.DUMMYFUNCTION("IMPORTRANGE(""https://docs.google.com/spreadsheets/d/1QqKyyYR6Q21VydFLVH3TRQUabQu_ym0Zz7PgGX0-kHA/edit?usp=sharing"",""แผน!FY24"")"),1170)</f>
        <v>1170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IFERROR(__xludf.DUMMYFUNCTION("IMPORTRANGE(""https://docs.google.com/spreadsheets/d/1QqKyyYR6Q21VydFLVH3TRQUabQu_ym0Zz7PgGX0-kHA/edit?usp=sharing"",""แผน!FZ24"")"),117)</f>
        <v>117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IFERROR(__xludf.DUMMYFUNCTION("IMPORTRANGE(""https://docs.google.com/spreadsheets/d/1QqKyyYR6Q21VydFLVH3TRQUabQu_ym0Zz7PgGX0-kHA/edit?usp=sharing"",""แผน!GA24"")"),130)</f>
        <v>130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IFERROR(__xludf.DUMMYFUNCTION("IMPORTRANGE(""https://docs.google.com/spreadsheets/d/1QqKyyYR6Q21VydFLVH3TRQUabQu_ym0Zz7PgGX0-kHA/edit?usp=sharing"",""แผน!GB24"")"),13)</f>
        <v>13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IFERROR(__xludf.DUMMYFUNCTION("IMPORTRANGE(""https://docs.google.com/spreadsheets/d/1QqKyyYR6Q21VydFLVH3TRQUabQu_ym0Zz7PgGX0-kHA/edit?usp=sharing"",""แผน!FY24"")"),1170)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IFERROR(__xludf.DUMMYFUNCTION("IMPORTRANGE(""https://docs.google.com/spreadsheets/d/1QqKyyYR6Q21VydFLVH3TRQUabQu_ym0Zz7PgGX0-kHA/edit?usp=sharing"",""แผน!GA24"")"),130)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IFERROR(__xludf.DUMMYFUNCTION("IMPORTRANGE(""https://docs.google.com/spreadsheets/d/1QqKyyYR6Q21VydFLVH3TRQUabQu_ym0Zz7PgGX0-kHA/edit?usp=sharing"",""แผน!GU24"")"),0)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IFERROR(__xludf.DUMMYFUNCTION("IMPORTRANGE(""https://docs.google.com/spreadsheets/d/1QqKyyYR6Q21VydFLVH3TRQUabQu_ym0Zz7PgGX0-kHA/edit?usp=sharing"",""แผน!GV24"")"),0)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IFERROR(__xludf.DUMMYFUNCTION("IMPORTRANGE(""https://docs.google.com/spreadsheets/d/1QqKyyYR6Q21VydFLVH3TRQUabQu_ym0Zz7PgGX0-kHA/edit?usp=sharing"",""แผน!GW24"")"),0)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IFERROR(__xludf.DUMMYFUNCTION("IMPORTRANGE(""https://docs.google.com/spreadsheets/d/1QqKyyYR6Q21VydFLVH3TRQUabQu_ym0Zz7PgGX0-kHA/edit?usp=sharing"",""แผน!GX24"")"),0)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IFERROR(__xludf.DUMMYFUNCTION("IMPORTRANGE(""https://docs.google.com/spreadsheets/d/1QqKyyYR6Q21VydFLVH3TRQUabQu_ym0Zz7PgGX0-kHA/edit?usp=sharing"",""แผน!GY24"")"),0)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IFERROR(__xludf.DUMMYFUNCTION("IMPORTRANGE(""https://docs.google.com/spreadsheets/d/1QqKyyYR6Q21VydFLVH3TRQUabQu_ym0Zz7PgGX0-kHA/edit?usp=sharing"",""แผน!GZ24"")"),0)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54558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477114</v>
      </c>
      <c r="M544" s="155">
        <f t="shared" si="236"/>
        <v>0</v>
      </c>
      <c r="N544" s="155">
        <f t="shared" si="236"/>
        <v>68704.160000000003</v>
      </c>
      <c r="O544" s="155">
        <f t="shared" ref="O544:O549" ca="1" si="237">IF(L544&gt;0,N544*100/L544,0)</f>
        <v>14.399946344060329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477114</v>
      </c>
      <c r="M546" s="93">
        <f t="shared" si="240"/>
        <v>0</v>
      </c>
      <c r="N546" s="93">
        <f t="shared" si="240"/>
        <v>68704.160000000003</v>
      </c>
      <c r="O546" s="93">
        <f t="shared" ca="1" si="237"/>
        <v>14.399946344060329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477114</v>
      </c>
      <c r="M547" s="466">
        <f t="shared" si="241"/>
        <v>0</v>
      </c>
      <c r="N547" s="466">
        <f t="shared" si="241"/>
        <v>68704.160000000003</v>
      </c>
      <c r="O547" s="466">
        <f t="shared" ca="1" si="237"/>
        <v>14.399946344060329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IFERROR(__xludf.DUMMYFUNCTION("IMPORTRANGE(""https://docs.google.com/spreadsheets/d/1QqKyyYR6Q21VydFLVH3TRQUabQu_ym0Zz7PgGX0-kHA/edit?usp=sharing"",""แผน!HB24"")"),477114)</f>
        <v>477114</v>
      </c>
      <c r="M549" s="93">
        <v>0</v>
      </c>
      <c r="N549" s="93">
        <f>N550+N551+N552+N553+N554</f>
        <v>68704.160000000003</v>
      </c>
      <c r="O549" s="93">
        <f t="shared" ca="1" si="237"/>
        <v>14.399946344060329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341"/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34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341">
        <v>18900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341">
        <v>49804.160000000003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54558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IFERROR(__xludf.DUMMYFUNCTION("IMPORTRANGE(""https://docs.google.com/spreadsheets/d/1QqKyyYR6Q21VydFLVH3TRQUabQu_ym0Zz7PgGX0-kHA/edit?usp=sharing"",""แผน!HH24"")"),54558)</f>
        <v>54558</v>
      </c>
      <c r="J560" s="193">
        <f t="shared" ref="J560:J561" si="247">J562+J564+J566</f>
        <v>21287.599999999999</v>
      </c>
      <c r="K560" s="380">
        <f t="shared" ca="1" si="246"/>
        <v>39.018292459401003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IFERROR(__xludf.DUMMYFUNCTION("IMPORTRANGE(""https://docs.google.com/spreadsheets/d/1QqKyyYR6Q21VydFLVH3TRQUabQu_ym0Zz7PgGX0-kHA/edit?usp=sharing"",""แผน!HG24"")"),7999)</f>
        <v>7999</v>
      </c>
      <c r="J561" s="193">
        <f t="shared" si="247"/>
        <v>2991</v>
      </c>
      <c r="K561" s="380">
        <f t="shared" ca="1" si="246"/>
        <v>37.392174021752716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16795.2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2440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4492.3999999999996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551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IFERROR(__xludf.DUMMYFUNCTION("IMPORTRANGE(""https://docs.google.com/spreadsheets/d/1QqKyyYR6Q21VydFLVH3TRQUabQu_ym0Zz7PgGX0-kHA/edit?usp=sharing"",""แผน!HH24"")"),54558)</f>
        <v>54558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IFERROR(__xludf.DUMMYFUNCTION("IMPORTRANGE(""https://docs.google.com/spreadsheets/d/1QqKyyYR6Q21VydFLVH3TRQUabQu_ym0Zz7PgGX0-kHA/edit?usp=sharing"",""แผน!HG24"")"),7999)</f>
        <v>7999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IFERROR(__xludf.DUMMYFUNCTION("IMPORTRANGE(""https://docs.google.com/spreadsheets/d/1QqKyyYR6Q21VydFLVH3TRQUabQu_ym0Zz7PgGX0-kHA/edit?usp=sharing"",""แผน!HH24"")"),54558)</f>
        <v>54558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IFERROR(__xludf.DUMMYFUNCTION("IMPORTRANGE(""https://docs.google.com/spreadsheets/d/1QqKyyYR6Q21VydFLVH3TRQUabQu_ym0Zz7PgGX0-kHA/edit?usp=sharing"",""แผน!HG24"")"),7999)</f>
        <v>7999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1400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IFERROR(__xludf.DUMMYFUNCTION("IMPORTRANGE(""https://docs.google.com/spreadsheets/d/1QqKyyYR6Q21VydFLVH3TRQUabQu_ym0Zz7PgGX0-kHA/edit?usp=sharing"",""แผน!HJ24"")"),1400)</f>
        <v>1400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IFERROR(__xludf.DUMMYFUNCTION("IMPORTRANGE(""https://docs.google.com/spreadsheets/d/1QqKyyYR6Q21VydFLVH3TRQUabQu_ym0Zz7PgGX0-kHA/edit?usp=sharing"",""แผน!HI24"")"),313)</f>
        <v>313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IFERROR(__xludf.DUMMYFUNCTION("IMPORTRANGE(""https://docs.google.com/spreadsheets/d/1QqKyyYR6Q21VydFLVH3TRQUabQu_ym0Zz7PgGX0-kHA/edit?usp=sharing"",""แผน!HL24"")"),57)</f>
        <v>57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IFERROR(__xludf.DUMMYFUNCTION("IMPORTRANGE(""https://docs.google.com/spreadsheets/d/1QqKyyYR6Q21VydFLVH3TRQUabQu_ym0Zz7PgGX0-kHA/edit?usp=sharing"",""แผน!HK24"")"),12)</f>
        <v>12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25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170675</v>
      </c>
      <c r="M629" s="195">
        <f t="shared" si="263"/>
        <v>0</v>
      </c>
      <c r="N629" s="195">
        <f t="shared" si="263"/>
        <v>55587</v>
      </c>
      <c r="O629" s="195">
        <f t="shared" ref="O629:O634" ca="1" si="264">IF(L629&gt;0,N629*100/L629,0)</f>
        <v>32.568917533323571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170675</v>
      </c>
      <c r="M631" s="93">
        <f t="shared" si="266"/>
        <v>0</v>
      </c>
      <c r="N631" s="93">
        <f t="shared" si="266"/>
        <v>55587</v>
      </c>
      <c r="O631" s="93">
        <f t="shared" ca="1" si="264"/>
        <v>32.568917533323571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170675</v>
      </c>
      <c r="M632" s="466">
        <f t="shared" si="267"/>
        <v>0</v>
      </c>
      <c r="N632" s="466">
        <f t="shared" si="267"/>
        <v>55587</v>
      </c>
      <c r="O632" s="466">
        <f t="shared" ca="1" si="264"/>
        <v>32.568917533323571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IFERROR(__xludf.DUMMYFUNCTION("IMPORTRANGE(""https://docs.google.com/spreadsheets/d/1QqKyyYR6Q21VydFLVH3TRQUabQu_ym0Zz7PgGX0-kHA/edit?usp=sharing"",""แผน!HN24"")"),170675)</f>
        <v>170675</v>
      </c>
      <c r="M634" s="93">
        <v>0</v>
      </c>
      <c r="N634" s="93">
        <f>N635+N636+N637+N638</f>
        <v>55587</v>
      </c>
      <c r="O634" s="93">
        <f t="shared" ca="1" si="264"/>
        <v>32.568917533323571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55587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IFERROR(__xludf.DUMMYFUNCTION("IMPORTRANGE(""https://docs.google.com/spreadsheets/d/1QqKyyYR6Q21VydFLVH3TRQUabQu_ym0Zz7PgGX0-kHA/edit?usp=sharing"",""แผน!HR24"")"),0)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IFERROR(__xludf.DUMMYFUNCTION("IMPORTRANGE(""https://docs.google.com/spreadsheets/d/1XWAQStnk-4SwqDmLtmXYiTMKHgktTP8We1SCoS47DrQ/edit?usp=sharing"",""จัดที่ดิน!AS24"")"),0)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IFERROR(__xludf.DUMMYFUNCTION("IMPORTRANGE(""https://docs.google.com/spreadsheets/d/1XWAQStnk-4SwqDmLtmXYiTMKHgktTP8We1SCoS47DrQ/edit?usp=sharing"",""จัดที่ดิน!AT24"")"),0)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IFERROR(__xludf.DUMMYFUNCTION("IMPORTRANGE(""https://docs.google.com/spreadsheets/d/1QqKyyYR6Q21VydFLVH3TRQUabQu_ym0Zz7PgGX0-kHA/edit?usp=sharing"",""แผน!HS24"")"),25)</f>
        <v>25</v>
      </c>
      <c r="J647" s="270">
        <f ca="1">IFERROR(__xludf.DUMMYFUNCTION("IMPORTRANGE(""https://docs.google.com/spreadsheets/d/1XWAQStnk-4SwqDmLtmXYiTMKHgktTP8We1SCoS47DrQ/edit?usp=sharing"",""จัดที่ดิน!AU24"")"),0)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IFERROR(__xludf.DUMMYFUNCTION("IMPORTRANGE(""https://docs.google.com/spreadsheets/d/1XWAQStnk-4SwqDmLtmXYiTMKHgktTP8We1SCoS47DrQ/edit?usp=sharing"",""จัดที่ดิน!AV24"")"),0)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IFERROR(__xludf.DUMMYFUNCTION("IMPORTRANGE(""https://docs.google.com/spreadsheets/d/1QqKyyYR6Q21VydFLVH3TRQUabQu_ym0Zz7PgGX0-kHA/edit?usp=sharing"",""แผน!HS24"")"),25)</f>
        <v>25</v>
      </c>
      <c r="J649" s="270">
        <f ca="1">IFERROR(__xludf.DUMMYFUNCTION("IMPORTRANGE(""https://docs.google.com/spreadsheets/d/1XWAQStnk-4SwqDmLtmXYiTMKHgktTP8We1SCoS47DrQ/edit?usp=sharing"",""จัดที่ดิน!AW24"")"),0)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IFERROR(__xludf.DUMMYFUNCTION("IMPORTRANGE(""https://docs.google.com/spreadsheets/d/1XWAQStnk-4SwqDmLtmXYiTMKHgktTP8We1SCoS47DrQ/edit?usp=sharing"",""จัดที่ดิน!AX24"")"),0)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IFERROR(__xludf.DUMMYFUNCTION("IMPORTRANGE(""https://docs.google.com/spreadsheets/d/1QqKyyYR6Q21VydFLVH3TRQUabQu_ym0Zz7PgGX0-kHA/edit?usp=sharing"",""แผน!HS24"")"),25)</f>
        <v>25</v>
      </c>
      <c r="J651" s="270">
        <f ca="1">IFERROR(__xludf.DUMMYFUNCTION("IMPORTRANGE(""https://docs.google.com/spreadsheets/d/1XWAQStnk-4SwqDmLtmXYiTMKHgktTP8We1SCoS47DrQ/edit?usp=sharing"",""จัดที่ดิน!AY24"")"),0)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IFERROR(__xludf.DUMMYFUNCTION("IMPORTRANGE(""https://docs.google.com/spreadsheets/d/1XWAQStnk-4SwqDmLtmXYiTMKHgktTP8We1SCoS47DrQ/edit?usp=sharing"",""จัดที่ดิน!AZ24"")"),0)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IFERROR(__xludf.DUMMYFUNCTION("IMPORTRANGE(""https://docs.google.com/spreadsheets/d/1QqKyyYR6Q21VydFLVH3TRQUabQu_ym0Zz7PgGX0-kHA/edit?usp=sharing"",""แผน!HV24"")"),0)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IFERROR(__xludf.DUMMYFUNCTION("IMPORTRANGE(""https://docs.google.com/spreadsheets/d/1QqKyyYR6Q21VydFLVH3TRQUabQu_ym0Zz7PgGX0-kHA/edit?usp=sharing"",""แผน!IA24"")"),0)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IFERROR(__xludf.DUMMYFUNCTION("IMPORTRANGE(""https://docs.google.com/spreadsheets/d/1QqKyyYR6Q21VydFLVH3TRQUabQu_ym0Zz7PgGX0-kHA/edit?usp=sharing"",""แผน!IB24"")"),0)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IFERROR(__xludf.DUMMYFUNCTION("IMPORTRANGE(""https://docs.google.com/spreadsheets/d/1QqKyyYR6Q21VydFLVH3TRQUabQu_ym0Zz7PgGX0-kHA/edit?usp=sharing"",""แผน!IC24"")"),0)</f>
        <v>0</v>
      </c>
      <c r="J699" s="270">
        <f ca="1">IFERROR(__xludf.DUMMYFUNCTION("IMPORTRANGE(""https://docs.google.com/spreadsheets/d/1XWAQStnk-4SwqDmLtmXYiTMKHgktTP8We1SCoS47DrQ/edit?usp=sharing"",""จัดที่ดิน!BB24"")"),0)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IFERROR(__xludf.DUMMYFUNCTION("IMPORTRANGE(""https://docs.google.com/spreadsheets/d/1QqKyyYR6Q21VydFLVH3TRQUabQu_ym0Zz7PgGX0-kHA/edit?usp=sharing"",""แผน!ID24"")"),0)</f>
        <v>0</v>
      </c>
      <c r="J700" s="270">
        <f ca="1">IFERROR(__xludf.DUMMYFUNCTION("IMPORTRANGE(""https://docs.google.com/spreadsheets/d/1XWAQStnk-4SwqDmLtmXYiTMKHgktTP8We1SCoS47DrQ/edit?usp=sharing"",""จัดที่ดิน!BD24"")"),0)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IFERROR(__xludf.DUMMYFUNCTION("IMPORTRANGE(""https://docs.google.com/spreadsheets/d/1QqKyyYR6Q21VydFLVH3TRQUabQu_ym0Zz7PgGX0-kHA/edit?usp=sharing"",""แผน!IE24"")"),0)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IFERROR(__xludf.DUMMYFUNCTION("IMPORTRANGE(""https://docs.google.com/spreadsheets/d/1QqKyyYR6Q21VydFLVH3TRQUabQu_ym0Zz7PgGX0-kHA/edit?usp=sharing"",""แผน!IF24"")"),0)</f>
        <v>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IFERROR(__xludf.DUMMYFUNCTION("IMPORTRANGE(""https://docs.google.com/spreadsheets/d/1QqKyyYR6Q21VydFLVH3TRQUabQu_ym0Zz7PgGX0-kHA/edit?usp=sharing"",""แผน!IG24"")"),0)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IFERROR(__xludf.DUMMYFUNCTION("IMPORTRANGE(""https://docs.google.com/spreadsheets/d/1QqKyyYR6Q21VydFLVH3TRQUabQu_ym0Zz7PgGX0-kHA/edit?usp=sharing"",""แผน!IH24"")"),0)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IFERROR(__xludf.DUMMYFUNCTION("IMPORTRANGE(""https://docs.google.com/spreadsheets/d/1XWAQStnk-4SwqDmLtmXYiTMKHgktTP8We1SCoS47DrQ/edit?usp=sharing"",""จัดที่ดิน!BF24"")"),0)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IFERROR(__xludf.DUMMYFUNCTION("IMPORTRANGE(""https://docs.google.com/spreadsheets/d/1XWAQStnk-4SwqDmLtmXYiTMKHgktTP8We1SCoS47DrQ/edit?usp=sharing"",""จัดที่ดิน!BG24"")"),0)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IFERROR(__xludf.DUMMYFUNCTION("IMPORTRANGE(""https://docs.google.com/spreadsheets/d/1QqKyyYR6Q21VydFLVH3TRQUabQu_ym0Zz7PgGX0-kHA/edit?usp=sharing"",""แผน!II24"")"),0)</f>
        <v>0</v>
      </c>
      <c r="J720" s="270">
        <f ca="1">IFERROR(__xludf.DUMMYFUNCTION("IMPORTRANGE(""https://docs.google.com/spreadsheets/d/1XWAQStnk-4SwqDmLtmXYiTMKHgktTP8We1SCoS47DrQ/edit?usp=sharing"",""จัดที่ดิน!BH24"")"),0)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IFERROR(__xludf.DUMMYFUNCTION("IMPORTRANGE(""https://docs.google.com/spreadsheets/d/1QqKyyYR6Q21VydFLVH3TRQUabQu_ym0Zz7PgGX0-kHA/edit?usp=sharing"",""แผน!IJ24"")"),0)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IFERROR(__xludf.DUMMYFUNCTION("IMPORTRANGE(""https://docs.google.com/spreadsheets/d/1QqKyyYR6Q21VydFLVH3TRQUabQu_ym0Zz7PgGX0-kHA/edit?usp=sharing"",""แผน!IK24"")"),0)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IFERROR(__xludf.DUMMYFUNCTION("IMPORTRANGE(""https://docs.google.com/spreadsheets/d/1QqKyyYR6Q21VydFLVH3TRQUabQu_ym0Zz7PgGX0-kHA/edit?usp=sharing"",""แผน!IL24"")"),0)</f>
        <v>0</v>
      </c>
      <c r="J723" s="270">
        <f ca="1">IFERROR(__xludf.DUMMYFUNCTION("IMPORTRANGE(""https://docs.google.com/spreadsheets/d/1XWAQStnk-4SwqDmLtmXYiTMKHgktTP8We1SCoS47DrQ/edit?usp=sharing"",""จัดที่ดิน!BM24"")"),0)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IFERROR(__xludf.DUMMYFUNCTION("IMPORTRANGE(""https://docs.google.com/spreadsheets/d/1XWAQStnk-4SwqDmLtmXYiTMKHgktTP8We1SCoS47DrQ/edit?usp=sharing"",""จัดที่ดิน!BN24"")"),0)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IFERROR(__xludf.DUMMYFUNCTION("IMPORTRANGE(""https://docs.google.com/spreadsheets/d/1QqKyyYR6Q21VydFLVH3TRQUabQu_ym0Zz7PgGX0-kHA/edit?usp=sharing"",""แผน!IM24"")"),0)</f>
        <v>0</v>
      </c>
      <c r="J725" s="270">
        <f ca="1">IFERROR(__xludf.DUMMYFUNCTION("IMPORTRANGE(""https://docs.google.com/spreadsheets/d/1XWAQStnk-4SwqDmLtmXYiTMKHgktTP8We1SCoS47DrQ/edit?usp=sharing"",""จัดที่ดิน!BO24"")"),0)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IFERROR(__xludf.DUMMYFUNCTION("IMPORTRANGE(""https://docs.google.com/spreadsheets/d/1QqKyyYR6Q21VydFLVH3TRQUabQu_ym0Zz7PgGX0-kHA/edit?usp=sharing"",""แผน!IN24"")"),0)</f>
        <v>0</v>
      </c>
      <c r="J726" s="270">
        <f ca="1">IFERROR(__xludf.DUMMYFUNCTION("IMPORTRANGE(""https://docs.google.com/spreadsheets/d/1XWAQStnk-4SwqDmLtmXYiTMKHgktTP8We1SCoS47DrQ/edit?usp=sharing"",""จัดที่ดิน!BR24"")"),0)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IFERROR(__xludf.DUMMYFUNCTION("IMPORTRANGE(""https://docs.google.com/spreadsheets/d/1XWAQStnk-4SwqDmLtmXYiTMKHgktTP8We1SCoS47DrQ/edit?usp=sharing"",""จัดที่ดิน!BS24"")"),0)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IFERROR(__xludf.DUMMYFUNCTION("IMPORTRANGE(""https://docs.google.com/spreadsheets/d/1QqKyyYR6Q21VydFLVH3TRQUabQu_ym0Zz7PgGX0-kHA/edit?usp=sharing"",""แผน!IO24"")"),0)</f>
        <v>0</v>
      </c>
      <c r="J728" s="270">
        <f ca="1">IFERROR(__xludf.DUMMYFUNCTION("IMPORTRANGE(""https://docs.google.com/spreadsheets/d/1XWAQStnk-4SwqDmLtmXYiTMKHgktTP8We1SCoS47DrQ/edit?usp=sharing"",""จัดที่ดิน!BT24"")"),0)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IFERROR(__xludf.DUMMYFUNCTION("IMPORTRANGE(""https://docs.google.com/spreadsheets/d/1QqKyyYR6Q21VydFLVH3TRQUabQu_ym0Zz7PgGX0-kHA/edit?usp=sharing"",""แผน!IP24"")"),0)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84">
        <f t="shared" ref="I785:J785" ca="1" si="318">I800</f>
        <v>0</v>
      </c>
      <c r="J785" s="771">
        <f t="shared" ca="1" si="318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27"/>
      <c r="F789" s="727"/>
      <c r="G789" s="189"/>
      <c r="H789" s="776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27"/>
      <c r="D792" s="727"/>
      <c r="E792" s="727"/>
      <c r="F792" s="727" t="s">
        <v>186</v>
      </c>
      <c r="G792" s="189"/>
      <c r="H792" s="776" t="s">
        <v>12</v>
      </c>
      <c r="I792" s="270"/>
      <c r="J792" s="270"/>
      <c r="K792" s="466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27"/>
      <c r="D793" s="727"/>
      <c r="E793" s="727"/>
      <c r="F793" s="727" t="s">
        <v>187</v>
      </c>
      <c r="G793" s="189"/>
      <c r="H793" s="776" t="s">
        <v>12</v>
      </c>
      <c r="I793" s="270"/>
      <c r="J793" s="270"/>
      <c r="K793" s="466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27"/>
      <c r="D794" s="727"/>
      <c r="E794" s="727"/>
      <c r="F794" s="727" t="s">
        <v>188</v>
      </c>
      <c r="G794" s="189"/>
      <c r="H794" s="776" t="s">
        <v>12</v>
      </c>
      <c r="I794" s="270"/>
      <c r="J794" s="270"/>
      <c r="K794" s="466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27"/>
      <c r="D795" s="727"/>
      <c r="E795" s="727"/>
      <c r="F795" s="727" t="s">
        <v>189</v>
      </c>
      <c r="G795" s="189"/>
      <c r="H795" s="776" t="s">
        <v>12</v>
      </c>
      <c r="I795" s="270"/>
      <c r="J795" s="270"/>
      <c r="K795" s="466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27"/>
      <c r="D796" s="571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774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6"/>
      <c r="H800" s="775" t="s">
        <v>46</v>
      </c>
      <c r="I800" s="184">
        <f ca="1">IFERROR(__xludf.DUMMYFUNCTION("IMPORTRANGE(""https://docs.google.com/spreadsheets/d/1QqKyyYR6Q21VydFLVH3TRQUabQu_ym0Zz7PgGX0-kHA/edit?usp=sharing"",""แผน!JN24"")"),0)</f>
        <v>0</v>
      </c>
      <c r="J800" s="184">
        <f ca="1">IFERROR(__xludf.DUMMYFUNCTION("IMPORTRANGE(""https://docs.google.com/spreadsheets/d/1MaWodYyGHDf7siQLGxnXhG4mBNTNIuy296niS2xXulU/edit?usp=sharing"",""RTK!H24"")"),0)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6"/>
      <c r="H801" s="776" t="s">
        <v>34</v>
      </c>
      <c r="I801" s="184"/>
      <c r="J801" s="270">
        <f ca="1">IFERROR(__xludf.DUMMYFUNCTION("IMPORTRANGE(""https://docs.google.com/spreadsheets/d/1MaWodYyGHDf7siQLGxnXhG4mBNTNIuy296niS2xXulU/edit?usp=sharing"",""RTK!I24"")"),0)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4"/>
      <c r="F802" s="684" t="s">
        <v>321</v>
      </c>
      <c r="G802" s="582"/>
      <c r="H802" s="619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4"/>
      <c r="F803" s="684"/>
      <c r="G803" s="582"/>
      <c r="H803" s="619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7">L806+L807</f>
        <v>0</v>
      </c>
      <c r="M805" s="613">
        <f t="shared" si="327"/>
        <v>0</v>
      </c>
      <c r="N805" s="613">
        <f t="shared" si="327"/>
        <v>0</v>
      </c>
      <c r="O805" s="613">
        <f t="shared" ref="O805:O810" si="328">IF(L805&gt;0,N805*100/L805,0)</f>
        <v>0</v>
      </c>
      <c r="P805" s="613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1">L809+L810</f>
        <v>0</v>
      </c>
      <c r="M808" s="613">
        <f t="shared" si="331"/>
        <v>0</v>
      </c>
      <c r="N808" s="613">
        <f t="shared" si="331"/>
        <v>0</v>
      </c>
      <c r="O808" s="613">
        <f t="shared" si="328"/>
        <v>0</v>
      </c>
      <c r="P808" s="613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2">L816+L817</f>
        <v>0</v>
      </c>
      <c r="M815" s="613">
        <f t="shared" si="332"/>
        <v>0</v>
      </c>
      <c r="N815" s="613">
        <f t="shared" si="332"/>
        <v>0</v>
      </c>
      <c r="O815" s="613">
        <f t="shared" ref="O815:O817" si="333">IF(L815&gt;0,N815*100/L815,0)</f>
        <v>0</v>
      </c>
      <c r="P815" s="613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270">
        <f ca="1">IFERROR(__xludf.DUMMYFUNCTION("IMPORTRANGE(""https://docs.google.com/spreadsheets/d/19vJNZY_5yjcGF2XGBMNZRCAIB0Kwfpjp8YEOfu-bneM/edit?usp=sharing"",""งานกองทุน!F24"")"),1195000)</f>
        <v>1195000</v>
      </c>
      <c r="K821" s="466">
        <f t="shared" ref="K821:K828" ca="1" si="335">IF(I821&gt;0,J821*100/I821,0)</f>
        <v>33.628706030794007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IFERROR(__xludf.DUMMYFUNCTION("IMPORTRANGE(""https://docs.google.com/spreadsheets/d/19vJNZY_5yjcGF2XGBMNZRCAIB0Kwfpjp8YEOfu-bneM/edit?usp=sharing"",""งานกองทุน!C24"")"),170)</f>
        <v>170</v>
      </c>
      <c r="J822" s="270">
        <f ca="1">IFERROR(__xludf.DUMMYFUNCTION("IMPORTRANGE(""https://docs.google.com/spreadsheets/d/19vJNZY_5yjcGF2XGBMNZRCAIB0Kwfpjp8YEOfu-bneM/edit?usp=sharing"",""งานกองทุน!E24"")"),57)</f>
        <v>57</v>
      </c>
      <c r="K822" s="466">
        <f t="shared" ca="1" si="335"/>
        <v>33.529411764705884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270">
        <f ca="1">IFERROR(__xludf.DUMMYFUNCTION("IMPORTRANGE(""https://docs.google.com/spreadsheets/d/19vJNZY_5yjcGF2XGBMNZRCAIB0Kwfpjp8YEOfu-bneM/edit?usp=sharing"",""งานกองทุน!K24"")"),79557.13)</f>
        <v>79557.13</v>
      </c>
      <c r="K823" s="466">
        <f t="shared" ca="1" si="335"/>
        <v>12.524619968131912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IFERROR(__xludf.DUMMYFUNCTION("IMPORTRANGE(""https://docs.google.com/spreadsheets/d/19vJNZY_5yjcGF2XGBMNZRCAIB0Kwfpjp8YEOfu-bneM/edit?usp=sharing"",""งานกองทุน!H24"")"),50)</f>
        <v>50</v>
      </c>
      <c r="J824" s="270">
        <f ca="1">IFERROR(__xludf.DUMMYFUNCTION("IMPORTRANGE(""https://docs.google.com/spreadsheets/d/19vJNZY_5yjcGF2XGBMNZRCAIB0Kwfpjp8YEOfu-bneM/edit?usp=sharing"",""งานกองทุน!J24"")"),37)</f>
        <v>37</v>
      </c>
      <c r="K824" s="466">
        <f t="shared" ca="1" si="335"/>
        <v>74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IFERROR(__xludf.DUMMYFUNCTION("IMPORTRANGE(""https://docs.google.com/spreadsheets/d/19vJNZY_5yjcGF2XGBMNZRCAIB0Kwfpjp8YEOfu-bneM/edit?usp=sharing"",""งานกองทุน!N24"")"),0)</f>
        <v>0</v>
      </c>
      <c r="J825" s="270">
        <f ca="1">IFERROR(__xludf.DUMMYFUNCTION("IMPORTRANGE(""https://docs.google.com/spreadsheets/d/19vJNZY_5yjcGF2XGBMNZRCAIB0Kwfpjp8YEOfu-bneM/edit?usp=sharing"",""งานกองทุน!P24"")"),0)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IFERROR(__xludf.DUMMYFUNCTION("IMPORTRANGE(""https://docs.google.com/spreadsheets/d/19vJNZY_5yjcGF2XGBMNZRCAIB0Kwfpjp8YEOfu-bneM/edit?usp=sharing"",""งานกองทุน!M24"")"),0)</f>
        <v>0</v>
      </c>
      <c r="J826" s="270">
        <f ca="1">IFERROR(__xludf.DUMMYFUNCTION("IMPORTRANGE(""https://docs.google.com/spreadsheets/d/19vJNZY_5yjcGF2XGBMNZRCAIB0Kwfpjp8YEOfu-bneM/edit?usp=sharing"",""งานกองทุน!O24"")"),0)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IFERROR(__xludf.DUMMYFUNCTION("IMPORTRANGE(""https://docs.google.com/spreadsheets/d/19vJNZY_5yjcGF2XGBMNZRCAIB0Kwfpjp8YEOfu-bneM/edit?usp=sharing"",""งานกองทุน!S24"")"),3700000)</f>
        <v>3700000</v>
      </c>
      <c r="J827" s="270">
        <f ca="1">IFERROR(__xludf.DUMMYFUNCTION("IMPORTRANGE(""https://docs.google.com/spreadsheets/d/19vJNZY_5yjcGF2XGBMNZRCAIB0Kwfpjp8YEOfu-bneM/edit?usp=sharing"",""งานกองทุน!U24"")"),460000)</f>
        <v>460000</v>
      </c>
      <c r="K827" s="466">
        <f t="shared" ca="1" si="335"/>
        <v>12.432432432432432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IFERROR(__xludf.DUMMYFUNCTION("IMPORTRANGE(""https://docs.google.com/spreadsheets/d/19vJNZY_5yjcGF2XGBMNZRCAIB0Kwfpjp8YEOfu-bneM/edit?usp=sharing"",""งานกองทุน!R24"")"),148)</f>
        <v>148</v>
      </c>
      <c r="J828" s="469">
        <f ca="1">IFERROR(__xludf.DUMMYFUNCTION("IMPORTRANGE(""https://docs.google.com/spreadsheets/d/19vJNZY_5yjcGF2XGBMNZRCAIB0Kwfpjp8YEOfu-bneM/edit?usp=sharing"",""งานกองทุน!T24"")"),17)</f>
        <v>17</v>
      </c>
      <c r="K828" s="470">
        <f t="shared" ca="1" si="335"/>
        <v>11.486486486486486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CCAD3-1B9A-4608-845F-354B7882F0C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6.85546875" style="801" bestFit="1" customWidth="1"/>
    <col min="10" max="10" width="14.42578125" style="801" bestFit="1" customWidth="1"/>
    <col min="11" max="11" width="12.5703125" style="801" customWidth="1"/>
    <col min="12" max="13" width="21.28515625" style="801" bestFit="1" customWidth="1"/>
    <col min="14" max="14" width="18.710937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347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3142805</v>
      </c>
      <c r="M8" s="22">
        <f t="shared" ca="1" si="0"/>
        <v>1261060</v>
      </c>
      <c r="N8" s="22">
        <f t="shared" ca="1" si="0"/>
        <v>797545.57000000007</v>
      </c>
      <c r="O8" s="22">
        <f t="shared" ref="O8:O16" ca="1" si="1">IF(L8&gt;0,N8*100/L8,0)</f>
        <v>25.376870979904893</v>
      </c>
      <c r="P8" s="22">
        <f t="shared" ref="P8:P16" ca="1" si="2">IF(M8&gt;0,N8*100/M8,0)</f>
        <v>63.244062138201194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3142805</v>
      </c>
      <c r="M10" s="30">
        <f t="shared" ca="1" si="3"/>
        <v>1261060</v>
      </c>
      <c r="N10" s="30">
        <f t="shared" ca="1" si="3"/>
        <v>797545.57000000007</v>
      </c>
      <c r="O10" s="30">
        <f t="shared" ca="1" si="1"/>
        <v>25.376870979904893</v>
      </c>
      <c r="P10" s="30">
        <f t="shared" ca="1" si="2"/>
        <v>63.244062138201194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3082805</v>
      </c>
      <c r="M11" s="466">
        <f t="shared" ca="1" si="4"/>
        <v>1201060</v>
      </c>
      <c r="N11" s="466">
        <f t="shared" ca="1" si="4"/>
        <v>737545.57000000007</v>
      </c>
      <c r="O11" s="466">
        <f t="shared" ca="1" si="1"/>
        <v>23.92449635964649</v>
      </c>
      <c r="P11" s="466">
        <f t="shared" ca="1" si="2"/>
        <v>61.407887199640321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3082805</v>
      </c>
      <c r="M13" s="93">
        <f t="shared" ca="1" si="5"/>
        <v>1201060</v>
      </c>
      <c r="N13" s="93">
        <f t="shared" ca="1" si="5"/>
        <v>737545.57000000007</v>
      </c>
      <c r="O13" s="93">
        <f t="shared" ca="1" si="1"/>
        <v>23.92449635964649</v>
      </c>
      <c r="P13" s="93">
        <f t="shared" ca="1" si="2"/>
        <v>61.407887199640321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60000</v>
      </c>
      <c r="N14" s="466">
        <f t="shared" ca="1" si="6"/>
        <v>60000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60000</v>
      </c>
      <c r="N16" s="52">
        <f t="shared" ca="1" si="7"/>
        <v>60000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2373920</v>
      </c>
      <c r="M18" s="22">
        <f t="shared" ca="1" si="8"/>
        <v>1261060</v>
      </c>
      <c r="N18" s="22">
        <f t="shared" ca="1" si="8"/>
        <v>706872.57000000007</v>
      </c>
      <c r="O18" s="22">
        <f t="shared" ref="O18:O26" ca="1" si="9">IF(L18&gt;0,N18*100/L18,0)</f>
        <v>29.776596094223901</v>
      </c>
      <c r="P18" s="22">
        <f t="shared" ref="P18:P26" ca="1" si="10">IF(M18&gt;0,N18*100/M18,0)</f>
        <v>56.053841212947837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2373920</v>
      </c>
      <c r="M20" s="30">
        <f t="shared" ca="1" si="11"/>
        <v>1261060</v>
      </c>
      <c r="N20" s="30">
        <f t="shared" ca="1" si="11"/>
        <v>706872.57000000007</v>
      </c>
      <c r="O20" s="30">
        <f t="shared" ca="1" si="9"/>
        <v>29.776596094223901</v>
      </c>
      <c r="P20" s="30">
        <f t="shared" ca="1" si="10"/>
        <v>56.053841212947837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2313920</v>
      </c>
      <c r="M21" s="466">
        <f t="shared" ca="1" si="12"/>
        <v>1201060</v>
      </c>
      <c r="N21" s="466">
        <f t="shared" ca="1" si="12"/>
        <v>646872.57000000007</v>
      </c>
      <c r="O21" s="466">
        <f t="shared" ca="1" si="9"/>
        <v>27.955701580002771</v>
      </c>
      <c r="P21" s="466">
        <f t="shared" ca="1" si="10"/>
        <v>53.858472515944257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2313920</v>
      </c>
      <c r="M23" s="93">
        <f t="shared" ca="1" si="13"/>
        <v>1201060</v>
      </c>
      <c r="N23" s="93">
        <f t="shared" ca="1" si="13"/>
        <v>646872.57000000007</v>
      </c>
      <c r="O23" s="93">
        <f t="shared" ca="1" si="9"/>
        <v>27.955701580002771</v>
      </c>
      <c r="P23" s="93">
        <f t="shared" ca="1" si="10"/>
        <v>53.858472515944257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60000</v>
      </c>
      <c r="N24" s="466">
        <f t="shared" ca="1" si="14"/>
        <v>60000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60000</v>
      </c>
      <c r="N26" s="52">
        <f t="shared" ca="1" si="15"/>
        <v>60000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768885</v>
      </c>
      <c r="M28" s="22">
        <f t="shared" si="16"/>
        <v>0</v>
      </c>
      <c r="N28" s="22">
        <f t="shared" si="16"/>
        <v>90673</v>
      </c>
      <c r="O28" s="22">
        <f t="shared" ref="O28:O37" ca="1" si="17">IF(L28&gt;0,N28*100/L28,0)</f>
        <v>11.792790859491342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768885</v>
      </c>
      <c r="M30" s="30">
        <f t="shared" si="19"/>
        <v>0</v>
      </c>
      <c r="N30" s="30">
        <f t="shared" si="19"/>
        <v>90673</v>
      </c>
      <c r="O30" s="30">
        <f t="shared" ca="1" si="17"/>
        <v>11.792790859491342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768885</v>
      </c>
      <c r="M31" s="466">
        <f t="shared" si="20"/>
        <v>0</v>
      </c>
      <c r="N31" s="466">
        <f t="shared" si="20"/>
        <v>90673</v>
      </c>
      <c r="O31" s="466">
        <f t="shared" ca="1" si="17"/>
        <v>11.792790859491342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768885</v>
      </c>
      <c r="M33" s="93">
        <f t="shared" si="21"/>
        <v>0</v>
      </c>
      <c r="N33" s="93">
        <f t="shared" si="21"/>
        <v>90673</v>
      </c>
      <c r="O33" s="93">
        <f t="shared" ca="1" si="17"/>
        <v>11.792790859491342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2373920</v>
      </c>
      <c r="M37" s="832">
        <f t="shared" ca="1" si="24"/>
        <v>1261060</v>
      </c>
      <c r="N37" s="832">
        <f t="shared" ca="1" si="24"/>
        <v>706872.57000000007</v>
      </c>
      <c r="O37" s="832">
        <f t="shared" ca="1" si="17"/>
        <v>29.776596094223901</v>
      </c>
      <c r="P37" s="832">
        <f t="shared" ca="1" si="18"/>
        <v>56.053841212947837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185550</v>
      </c>
      <c r="M41" s="85">
        <f t="shared" ca="1" si="25"/>
        <v>101550</v>
      </c>
      <c r="N41" s="85">
        <f t="shared" ca="1" si="25"/>
        <v>42836</v>
      </c>
      <c r="O41" s="85">
        <f t="shared" ref="O41:O49" ca="1" si="26">IF(L41&gt;0,N41*100/L41,0)</f>
        <v>23.085960657504717</v>
      </c>
      <c r="P41" s="85">
        <f t="shared" ref="P41:P49" ca="1" si="27">IF(M41&gt;0,N41*100/M41,0)</f>
        <v>42.182176267848348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185550</v>
      </c>
      <c r="M43" s="92">
        <f t="shared" ca="1" si="28"/>
        <v>101550</v>
      </c>
      <c r="N43" s="92">
        <f t="shared" ca="1" si="28"/>
        <v>42836</v>
      </c>
      <c r="O43" s="92">
        <f t="shared" ca="1" si="26"/>
        <v>23.085960657504717</v>
      </c>
      <c r="P43" s="92">
        <f t="shared" ca="1" si="27"/>
        <v>42.182176267848348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185550</v>
      </c>
      <c r="M44" s="466">
        <f t="shared" ca="1" si="29"/>
        <v>101550</v>
      </c>
      <c r="N44" s="466">
        <f t="shared" ca="1" si="29"/>
        <v>42836</v>
      </c>
      <c r="O44" s="466">
        <f t="shared" ca="1" si="26"/>
        <v>23.085960657504717</v>
      </c>
      <c r="P44" s="466">
        <f t="shared" ca="1" si="27"/>
        <v>42.182176267848348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IFERROR(__xludf.DUMMYFUNCTION("IMPORTRANGE(""https://docs.google.com/spreadsheets/d/1MeEWN-I1oV_STSDYn1IFDPWt_1FKiwhDph83XaGc0o0/edit?usp=sharing"",""งบพรบ!M25"")"),185550)</f>
        <v>185550</v>
      </c>
      <c r="M46" s="93">
        <f ca="1">IFERROR(__xludf.DUMMYFUNCTION("IMPORTRANGE(""https://docs.google.com/spreadsheets/d/1MeEWN-I1oV_STSDYn1IFDPWt_1FKiwhDph83XaGc0o0/edit?usp=sharing"",""งบพรบ!R25"")"),101550)</f>
        <v>101550</v>
      </c>
      <c r="N46" s="93">
        <f ca="1">IFERROR(__xludf.DUMMYFUNCTION("IMPORTRANGE(""https://docs.google.com/spreadsheets/d/1MeEWN-I1oV_STSDYn1IFDPWt_1FKiwhDph83XaGc0o0/edit?usp=sharing"",""งบพรบ!T25"")"),42836)</f>
        <v>42836</v>
      </c>
      <c r="O46" s="93">
        <f t="shared" ca="1" si="26"/>
        <v>23.085960657504717</v>
      </c>
      <c r="P46" s="93">
        <f t="shared" ca="1" si="27"/>
        <v>42.182176267848348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IFERROR(__xludf.DUMMYFUNCTION("IMPORTRANGE(""https://docs.google.com/spreadsheets/d/1MeEWN-I1oV_STSDYn1IFDPWt_1FKiwhDph83XaGc0o0/edit?usp=sharing"",""งบพรบ!P25"")"),0)</f>
        <v>0</v>
      </c>
      <c r="M49" s="52">
        <f ca="1">IFERROR(__xludf.DUMMYFUNCTION("IMPORTRANGE(""https://docs.google.com/spreadsheets/d/1MeEWN-I1oV_STSDYn1IFDPWt_1FKiwhDph83XaGc0o0/edit?usp=sharing"",""งบพรบ!S25"")"),0)</f>
        <v>0</v>
      </c>
      <c r="N49" s="52">
        <f ca="1">IFERROR(__xludf.DUMMYFUNCTION("IMPORTRANGE(""https://docs.google.com/spreadsheets/d/1MeEWN-I1oV_STSDYn1IFDPWt_1FKiwhDph83XaGc0o0/edit?usp=sharing"",""งบพรบ!U25"")"),0)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672400</v>
      </c>
      <c r="M53" s="116">
        <f t="shared" ca="1" si="31"/>
        <v>336200</v>
      </c>
      <c r="N53" s="116">
        <f t="shared" ca="1" si="31"/>
        <v>226436.17</v>
      </c>
      <c r="O53" s="116">
        <f t="shared" ref="O53:O61" ca="1" si="32">IF(L53&gt;0,N53*100/L53,0)</f>
        <v>33.675813503866749</v>
      </c>
      <c r="P53" s="116">
        <f t="shared" ref="P53:P61" ca="1" si="33">IF(M53&gt;0,N53*100/M53,0)</f>
        <v>67.351627007733498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672400</v>
      </c>
      <c r="M55" s="123">
        <f t="shared" ca="1" si="34"/>
        <v>336200</v>
      </c>
      <c r="N55" s="123">
        <f t="shared" ca="1" si="34"/>
        <v>226436.17</v>
      </c>
      <c r="O55" s="123">
        <f t="shared" ca="1" si="32"/>
        <v>33.675813503866749</v>
      </c>
      <c r="P55" s="123">
        <f t="shared" ca="1" si="33"/>
        <v>67.351627007733498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672400</v>
      </c>
      <c r="M56" s="466">
        <f t="shared" ca="1" si="35"/>
        <v>336200</v>
      </c>
      <c r="N56" s="466">
        <f t="shared" ca="1" si="35"/>
        <v>226436.17</v>
      </c>
      <c r="O56" s="466">
        <f t="shared" ca="1" si="32"/>
        <v>33.675813503866749</v>
      </c>
      <c r="P56" s="466">
        <f t="shared" ca="1" si="33"/>
        <v>67.351627007733498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IFERROR(__xludf.DUMMYFUNCTION("IMPORTRANGE(""https://docs.google.com/spreadsheets/d/1MeEWN-I1oV_STSDYn1IFDPWt_1FKiwhDph83XaGc0o0/edit?usp=sharing"",""งบพรบ!W25"")"),672400)</f>
        <v>672400</v>
      </c>
      <c r="M58" s="93">
        <f ca="1">IFERROR(__xludf.DUMMYFUNCTION("IMPORTRANGE(""https://docs.google.com/spreadsheets/d/1MeEWN-I1oV_STSDYn1IFDPWt_1FKiwhDph83XaGc0o0/edit?usp=sharing"",""งบพรบ!AB25"")"),336200)</f>
        <v>336200</v>
      </c>
      <c r="N58" s="93">
        <f ca="1">IFERROR(__xludf.DUMMYFUNCTION("IMPORTRANGE(""https://docs.google.com/spreadsheets/d/1MeEWN-I1oV_STSDYn1IFDPWt_1FKiwhDph83XaGc0o0/edit?usp=sharing"",""งบพรบ!AD25"")"),226436.17)</f>
        <v>226436.17</v>
      </c>
      <c r="O58" s="93">
        <f t="shared" ca="1" si="32"/>
        <v>33.675813503866749</v>
      </c>
      <c r="P58" s="93">
        <f t="shared" ca="1" si="33"/>
        <v>67.351627007733498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IFERROR(__xludf.DUMMYFUNCTION("IMPORTRANGE(""https://docs.google.com/spreadsheets/d/1MeEWN-I1oV_STSDYn1IFDPWt_1FKiwhDph83XaGc0o0/edit?usp=sharing"",""งบพรบ!Z25"")"),0)</f>
        <v>0</v>
      </c>
      <c r="M61" s="52">
        <f ca="1">IFERROR(__xludf.DUMMYFUNCTION("IMPORTRANGE(""https://docs.google.com/spreadsheets/d/1MeEWN-I1oV_STSDYn1IFDPWt_1FKiwhDph83XaGc0o0/edit?usp=sharing"",""งบพรบ!AC25"")"),0)</f>
        <v>0</v>
      </c>
      <c r="N61" s="52">
        <f ca="1">IFERROR(__xludf.DUMMYFUNCTION("IMPORTRANGE(""https://docs.google.com/spreadsheets/d/1MeEWN-I1oV_STSDYn1IFDPWt_1FKiwhDph83XaGc0o0/edit?usp=sharing"",""งบพรบ!AE25"")"),0)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IFERROR(__xludf.DUMMYFUNCTION("IMPORTRANGE(""https://docs.google.com/spreadsheets/d/1MeEWN-I1oV_STSDYn1IFDPWt_1FKiwhDph83XaGc0o0/edit?usp=sharing"",""งบพรบ!AG25"")"),0)</f>
        <v>0</v>
      </c>
      <c r="M71" s="93">
        <f ca="1">IFERROR(__xludf.DUMMYFUNCTION("IMPORTRANGE(""https://docs.google.com/spreadsheets/d/1MeEWN-I1oV_STSDYn1IFDPWt_1FKiwhDph83XaGc0o0/edit?usp=sharing"",""งบพรบ!AL25"")"),0)</f>
        <v>0</v>
      </c>
      <c r="N71" s="93">
        <f ca="1">IFERROR(__xludf.DUMMYFUNCTION("IMPORTRANGE(""https://docs.google.com/spreadsheets/d/1MeEWN-I1oV_STSDYn1IFDPWt_1FKiwhDph83XaGc0o0/edit?usp=sharing"",""งบพรบ!AN25"")"),0)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IFERROR(__xludf.DUMMYFUNCTION("IMPORTRANGE(""https://docs.google.com/spreadsheets/d/1MeEWN-I1oV_STSDYn1IFDPWt_1FKiwhDph83XaGc0o0/edit?usp=sharing"",""งบพรบ!AJ25"")"),0)</f>
        <v>0</v>
      </c>
      <c r="M74" s="93">
        <f ca="1">IFERROR(__xludf.DUMMYFUNCTION("IMPORTRANGE(""https://docs.google.com/spreadsheets/d/1MeEWN-I1oV_STSDYn1IFDPWt_1FKiwhDph83XaGc0o0/edit?usp=sharing"",""งบพรบ!AM25"")"),0)</f>
        <v>0</v>
      </c>
      <c r="N74" s="93">
        <f ca="1">IFERROR(__xludf.DUMMYFUNCTION("IMPORTRANGE(""https://docs.google.com/spreadsheets/d/1MeEWN-I1oV_STSDYn1IFDPWt_1FKiwhDph83XaGc0o0/edit?usp=sharing"",""งบพรบ!AO25"")"),0)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235620</v>
      </c>
      <c r="M88" s="155">
        <f t="shared" ca="1" si="49"/>
        <v>146970</v>
      </c>
      <c r="N88" s="155">
        <f t="shared" ca="1" si="49"/>
        <v>68063.399999999994</v>
      </c>
      <c r="O88" s="155">
        <f t="shared" ref="O88:O96" ca="1" si="50">IF(L88&gt;0,N88*100/L88,0)</f>
        <v>28.886936592818941</v>
      </c>
      <c r="P88" s="155">
        <f t="shared" ref="P88:P96" ca="1" si="51">IF(M88&gt;0,N88*100/M88,0)</f>
        <v>46.311083894672379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235620</v>
      </c>
      <c r="M90" s="93">
        <f t="shared" ca="1" si="52"/>
        <v>146970</v>
      </c>
      <c r="N90" s="93">
        <f t="shared" ca="1" si="52"/>
        <v>68063.399999999994</v>
      </c>
      <c r="O90" s="93">
        <f t="shared" ca="1" si="50"/>
        <v>28.886936592818941</v>
      </c>
      <c r="P90" s="93">
        <f t="shared" ca="1" si="51"/>
        <v>46.311083894672379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235620</v>
      </c>
      <c r="M91" s="466">
        <f t="shared" ca="1" si="53"/>
        <v>146970</v>
      </c>
      <c r="N91" s="466">
        <f t="shared" ca="1" si="53"/>
        <v>68063.399999999994</v>
      </c>
      <c r="O91" s="466">
        <f t="shared" ca="1" si="50"/>
        <v>28.886936592818941</v>
      </c>
      <c r="P91" s="466">
        <f t="shared" ca="1" si="51"/>
        <v>46.311083894672379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IFERROR(__xludf.DUMMYFUNCTION("IMPORTRANGE(""https://docs.google.com/spreadsheets/d/1MeEWN-I1oV_STSDYn1IFDPWt_1FKiwhDph83XaGc0o0/edit?usp=sharing"",""งบพรบ!AQ25"")"),235620)</f>
        <v>235620</v>
      </c>
      <c r="M93" s="93">
        <f ca="1">IFERROR(__xludf.DUMMYFUNCTION("IMPORTRANGE(""https://docs.google.com/spreadsheets/d/1MeEWN-I1oV_STSDYn1IFDPWt_1FKiwhDph83XaGc0o0/edit?usp=sharing"",""งบพรบ!AV25"")"),146970)</f>
        <v>146970</v>
      </c>
      <c r="N93" s="93">
        <f ca="1">IFERROR(__xludf.DUMMYFUNCTION("IMPORTRANGE(""https://docs.google.com/spreadsheets/d/1MeEWN-I1oV_STSDYn1IFDPWt_1FKiwhDph83XaGc0o0/edit?usp=sharing"",""งบพรบ!AX25"")"),68063.4)</f>
        <v>68063.399999999994</v>
      </c>
      <c r="O93" s="93">
        <f t="shared" ca="1" si="50"/>
        <v>28.886936592818941</v>
      </c>
      <c r="P93" s="93">
        <f t="shared" ca="1" si="51"/>
        <v>46.311083894672379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IFERROR(__xludf.DUMMYFUNCTION("IMPORTRANGE(""https://docs.google.com/spreadsheets/d/1MeEWN-I1oV_STSDYn1IFDPWt_1FKiwhDph83XaGc0o0/edit?usp=sharing"",""งบพรบ!AT25"")"),0)</f>
        <v>0</v>
      </c>
      <c r="M96" s="93">
        <f ca="1">IFERROR(__xludf.DUMMYFUNCTION("IMPORTRANGE(""https://docs.google.com/spreadsheets/d/1MeEWN-I1oV_STSDYn1IFDPWt_1FKiwhDph83XaGc0o0/edit?usp=sharing"",""งบพรบ!AW25"")"),0)</f>
        <v>0</v>
      </c>
      <c r="N96" s="93">
        <f ca="1">IFERROR(__xludf.DUMMYFUNCTION("IMPORTRANGE(""https://docs.google.com/spreadsheets/d/1MeEWN-I1oV_STSDYn1IFDPWt_1FKiwhDph83XaGc0o0/edit?usp=sharing"",""งบพรบ!AY25"")"),0)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IFERROR(__xludf.DUMMYFUNCTION("IMPORTRANGE(""https://docs.google.com/spreadsheets/d/1QqKyyYR6Q21VydFLVH3TRQUabQu_ym0Zz7PgGX0-kHA/edit?usp=sharing"",""แผน!K25"")"),90)</f>
        <v>90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IFERROR(__xludf.DUMMYFUNCTION("IMPORTRANGE(""https://docs.google.com/spreadsheets/d/1QqKyyYR6Q21VydFLVH3TRQUabQu_ym0Zz7PgGX0-kHA/edit?usp=sharing"",""แผน!L25"")"),30)</f>
        <v>30</v>
      </c>
      <c r="J99" s="270">
        <f>J104</f>
        <v>0</v>
      </c>
      <c r="K99" s="466">
        <f t="shared" ca="1" si="55"/>
        <v>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IFERROR(__xludf.DUMMYFUNCTION("IMPORTRANGE(""https://docs.google.com/spreadsheets/d/1QqKyyYR6Q21VydFLVH3TRQUabQu_ym0Zz7PgGX0-kHA/edit?usp=sharing"",""แผน!M25"")"),0)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IFERROR(__xludf.DUMMYFUNCTION("IMPORTRANGE(""https://docs.google.com/spreadsheets/d/1QqKyyYR6Q21VydFLVH3TRQUabQu_ym0Zz7PgGX0-kHA/edit?usp=sharing"",""แผน!N25"")"),90)</f>
        <v>90</v>
      </c>
      <c r="J102" s="215">
        <v>0</v>
      </c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IFERROR(__xludf.DUMMYFUNCTION("IMPORTRANGE(""https://docs.google.com/spreadsheets/d/1QqKyyYR6Q21VydFLVH3TRQUabQu_ym0Zz7PgGX0-kHA/edit?usp=sharing"",""แผน!O25"")"),30)</f>
        <v>30</v>
      </c>
      <c r="J103" s="215">
        <v>0</v>
      </c>
      <c r="K103" s="466">
        <f t="shared" ca="1" si="56"/>
        <v>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IFERROR(__xludf.DUMMYFUNCTION("IMPORTRANGE(""https://docs.google.com/spreadsheets/d/1QqKyyYR6Q21VydFLVH3TRQUabQu_ym0Zz7PgGX0-kHA/edit?usp=sharing"",""แผน!O25"")"),30)</f>
        <v>30</v>
      </c>
      <c r="J104" s="215">
        <v>0</v>
      </c>
      <c r="K104" s="466">
        <f t="shared" ca="1" si="56"/>
        <v>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IFERROR(__xludf.DUMMYFUNCTION("IMPORTRANGE(""https://docs.google.com/spreadsheets/d/1QqKyyYR6Q21VydFLVH3TRQUabQu_ym0Zz7PgGX0-kHA/edit?usp=sharing"",""แผน!P25"")"),0)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IFERROR(__xludf.DUMMYFUNCTION("IMPORTRANGE(""https://docs.google.com/spreadsheets/d/1QqKyyYR6Q21VydFLVH3TRQUabQu_ym0Zz7PgGX0-kHA/edit?usp=sharing"",""แผน!P25"")"),0)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IFERROR(__xludf.DUMMYFUNCTION("IMPORTRANGE(""https://docs.google.com/spreadsheets/d/1QqKyyYR6Q21VydFLVH3TRQUabQu_ym0Zz7PgGX0-kHA/edit?usp=sharing"",""แผน!Q25"")"),0)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IFERROR(__xludf.DUMMYFUNCTION("IMPORTRANGE(""https://docs.google.com/spreadsheets/d/1QqKyyYR6Q21VydFLVH3TRQUabQu_ym0Zz7PgGX0-kHA/edit?usp=sharing"",""แผน!Q25"")"),0)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IFERROR(__xludf.DUMMYFUNCTION("IMPORTRANGE(""https://docs.google.com/spreadsheets/d/1QqKyyYR6Q21VydFLVH3TRQUabQu_ym0Zz7PgGX0-kHA/edit?usp=sharing"",""แผน!R25"")"),30)</f>
        <v>30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IFERROR(__xludf.DUMMYFUNCTION("IMPORTRANGE(""https://docs.google.com/spreadsheets/d/1QqKyyYR6Q21VydFLVH3TRQUabQu_ym0Zz7PgGX0-kHA/edit?usp=sharing"",""แผน!R25"")"),30)</f>
        <v>30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IFERROR(__xludf.DUMMYFUNCTION("IMPORTRANGE(""https://docs.google.com/spreadsheets/d/1QqKyyYR6Q21VydFLVH3TRQUabQu_ym0Zz7PgGX0-kHA/edit?usp=sharing"",""แผน!R25"")"),30)</f>
        <v>30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IFERROR(__xludf.DUMMYFUNCTION("IMPORTRANGE(""https://docs.google.com/spreadsheets/d/1QqKyyYR6Q21VydFLVH3TRQUabQu_ym0Zz7PgGX0-kHA/edit?usp=sharing"",""แผน!S25"")"),0)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IFERROR(__xludf.DUMMYFUNCTION("IMPORTRANGE(""https://docs.google.com/spreadsheets/d/1QqKyyYR6Q21VydFLVH3TRQUabQu_ym0Zz7PgGX0-kHA/edit?usp=sharing"",""แผน!T25"")"),0)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IFERROR(__xludf.DUMMYFUNCTION("IMPORTRANGE(""https://docs.google.com/spreadsheets/d/1MeEWN-I1oV_STSDYn1IFDPWt_1FKiwhDph83XaGc0o0/edit?usp=sharing"",""งบพรบ!BA25"")"),0)</f>
        <v>0</v>
      </c>
      <c r="M124" s="93">
        <f ca="1">IFERROR(__xludf.DUMMYFUNCTION("IMPORTRANGE(""https://docs.google.com/spreadsheets/d/1MeEWN-I1oV_STSDYn1IFDPWt_1FKiwhDph83XaGc0o0/edit?usp=sharing"",""งบพรบ!BF25"")"),0)</f>
        <v>0</v>
      </c>
      <c r="N124" s="93">
        <f ca="1">IFERROR(__xludf.DUMMYFUNCTION("IMPORTRANGE(""https://docs.google.com/spreadsheets/d/1MeEWN-I1oV_STSDYn1IFDPWt_1FKiwhDph83XaGc0o0/edit?usp=sharing"",""งบพรบ!BH25"")"),0)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IFERROR(__xludf.DUMMYFUNCTION("IMPORTRANGE(""https://docs.google.com/spreadsheets/d/1MeEWN-I1oV_STSDYn1IFDPWt_1FKiwhDph83XaGc0o0/edit?usp=sharing"",""งบพรบ!BD25"")"),0)</f>
        <v>0</v>
      </c>
      <c r="M127" s="93">
        <f ca="1">IFERROR(__xludf.DUMMYFUNCTION("IMPORTRANGE(""https://docs.google.com/spreadsheets/d/1MeEWN-I1oV_STSDYn1IFDPWt_1FKiwhDph83XaGc0o0/edit?usp=sharing"",""งบพรบ!BG25"")"),0)</f>
        <v>0</v>
      </c>
      <c r="N127" s="93">
        <f ca="1">IFERROR(__xludf.DUMMYFUNCTION("IMPORTRANGE(""https://docs.google.com/spreadsheets/d/1MeEWN-I1oV_STSDYn1IFDPWt_1FKiwhDph83XaGc0o0/edit?usp=sharing"",""งบพรบ!BI25"")"),0)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IFERROR(__xludf.DUMMYFUNCTION("IMPORTRANGE(""https://docs.google.com/spreadsheets/d/1MeEWN-I1oV_STSDYn1IFDPWt_1FKiwhDph83XaGc0o0/edit?usp=sharing"",""งบพรบ!BK25"")"),0)</f>
        <v>0</v>
      </c>
      <c r="M137" s="93">
        <f ca="1">IFERROR(__xludf.DUMMYFUNCTION("IMPORTRANGE(""https://docs.google.com/spreadsheets/d/1MeEWN-I1oV_STSDYn1IFDPWt_1FKiwhDph83XaGc0o0/edit?usp=sharing"",""งบพรบ!BP25"")"),0)</f>
        <v>0</v>
      </c>
      <c r="N137" s="93">
        <f ca="1">IFERROR(__xludf.DUMMYFUNCTION("IMPORTRANGE(""https://docs.google.com/spreadsheets/d/1MeEWN-I1oV_STSDYn1IFDPWt_1FKiwhDph83XaGc0o0/edit?usp=sharing"",""งบพรบ!BR25"")"),0)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IFERROR(__xludf.DUMMYFUNCTION("IMPORTRANGE(""https://docs.google.com/spreadsheets/d/1MeEWN-I1oV_STSDYn1IFDPWt_1FKiwhDph83XaGc0o0/edit?usp=sharing"",""งบพรบ!BN25"")"),0)</f>
        <v>0</v>
      </c>
      <c r="M140" s="93">
        <f ca="1">IFERROR(__xludf.DUMMYFUNCTION("IMPORTRANGE(""https://docs.google.com/spreadsheets/d/1MeEWN-I1oV_STSDYn1IFDPWt_1FKiwhDph83XaGc0o0/edit?usp=sharing"",""งบพรบ!BQ25"")"),0)</f>
        <v>0</v>
      </c>
      <c r="N140" s="93">
        <f ca="1">IFERROR(__xludf.DUMMYFUNCTION("IMPORTRANGE(""https://docs.google.com/spreadsheets/d/1MeEWN-I1oV_STSDYn1IFDPWt_1FKiwhDph83XaGc0o0/edit?usp=sharing"",""งบพรบ!BS25"")"),0)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IFERROR(__xludf.DUMMYFUNCTION("IMPORTRANGE(""https://docs.google.com/spreadsheets/d/1QqKyyYR6Q21VydFLVH3TRQUabQu_ym0Zz7PgGX0-kHA/edit?usp=sharing"",""แผน!U25"")"),0)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IFERROR(__xludf.DUMMYFUNCTION("IMPORTRANGE(""https://docs.google.com/spreadsheets/d/1QqKyyYR6Q21VydFLVH3TRQUabQu_ym0Zz7PgGX0-kHA/edit?usp=sharing"",""แผน!V25"")"),0)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IFERROR(__xludf.DUMMYFUNCTION("IMPORTRANGE(""https://docs.google.com/spreadsheets/d/1QqKyyYR6Q21VydFLVH3TRQUabQu_ym0Zz7PgGX0-kHA/edit?usp=sharing"",""แผน!W25"")"),0)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14880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14880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14880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IFERROR(__xludf.DUMMYFUNCTION("IMPORTRANGE(""https://docs.google.com/spreadsheets/d/1MeEWN-I1oV_STSDYn1IFDPWt_1FKiwhDph83XaGc0o0/edit?usp=sharing"",""งบพรบ!BU25"")"),10000)</f>
        <v>10000</v>
      </c>
      <c r="M154" s="93">
        <f ca="1">IFERROR(__xludf.DUMMYFUNCTION("IMPORTRANGE(""https://docs.google.com/spreadsheets/d/1MeEWN-I1oV_STSDYn1IFDPWt_1FKiwhDph83XaGc0o0/edit?usp=sharing"",""งบพรบ!BZ25"")"),14880)</f>
        <v>14880</v>
      </c>
      <c r="N154" s="93">
        <f ca="1">IFERROR(__xludf.DUMMYFUNCTION("IMPORTRANGE(""https://docs.google.com/spreadsheets/d/1MeEWN-I1oV_STSDYn1IFDPWt_1FKiwhDph83XaGc0o0/edit?usp=sharing"",""งบพรบ!CB25"")"),0)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IFERROR(__xludf.DUMMYFUNCTION("IMPORTRANGE(""https://docs.google.com/spreadsheets/d/1MeEWN-I1oV_STSDYn1IFDPWt_1FKiwhDph83XaGc0o0/edit?usp=sharing"",""งบพรบ!BX25"")"),0)</f>
        <v>0</v>
      </c>
      <c r="M157" s="93">
        <f ca="1">IFERROR(__xludf.DUMMYFUNCTION("IMPORTRANGE(""https://docs.google.com/spreadsheets/d/1MeEWN-I1oV_STSDYn1IFDPWt_1FKiwhDph83XaGc0o0/edit?usp=sharing"",""งบพรบ!CA25"")"),0)</f>
        <v>0</v>
      </c>
      <c r="N157" s="93">
        <f ca="1">IFERROR(__xludf.DUMMYFUNCTION("IMPORTRANGE(""https://docs.google.com/spreadsheets/d/1MeEWN-I1oV_STSDYn1IFDPWt_1FKiwhDph83XaGc0o0/edit?usp=sharing"",""งบพรบ!CC25"")"),0)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IFERROR(__xludf.DUMMYFUNCTION("IMPORTRANGE(""https://docs.google.com/spreadsheets/d/1QqKyyYR6Q21VydFLVH3TRQUabQu_ym0Zz7PgGX0-kHA/edit?usp=sharing"",""แผน!X25"")"),20)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23060</v>
      </c>
      <c r="N168" s="466">
        <f t="shared" ca="1" si="88"/>
        <v>23060</v>
      </c>
      <c r="O168" s="466">
        <f t="shared" ca="1" si="85"/>
        <v>100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IFERROR(__xludf.DUMMYFUNCTION("IMPORTRANGE(""https://docs.google.com/spreadsheets/d/1MeEWN-I1oV_STSDYn1IFDPWt_1FKiwhDph83XaGc0o0/edit?usp=sharing"",""งบพรบ!CE25"")"),23060)</f>
        <v>23060</v>
      </c>
      <c r="M170" s="93">
        <f ca="1">IFERROR(__xludf.DUMMYFUNCTION("IMPORTRANGE(""https://docs.google.com/spreadsheets/d/1MeEWN-I1oV_STSDYn1IFDPWt_1FKiwhDph83XaGc0o0/edit?usp=sharing"",""งบพรบ!CJ25"")"),23060)</f>
        <v>23060</v>
      </c>
      <c r="N170" s="93">
        <f ca="1">IFERROR(__xludf.DUMMYFUNCTION("IMPORTRANGE(""https://docs.google.com/spreadsheets/d/1MeEWN-I1oV_STSDYn1IFDPWt_1FKiwhDph83XaGc0o0/edit?usp=sharing"",""งบพรบ!CL25"")"),23060)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IFERROR(__xludf.DUMMYFUNCTION("IMPORTRANGE(""https://docs.google.com/spreadsheets/d/1MeEWN-I1oV_STSDYn1IFDPWt_1FKiwhDph83XaGc0o0/edit?usp=sharing"",""งบพรบ!CH25"")"),0)</f>
        <v>0</v>
      </c>
      <c r="M173" s="93">
        <f ca="1">IFERROR(__xludf.DUMMYFUNCTION("IMPORTRANGE(""https://docs.google.com/spreadsheets/d/1MeEWN-I1oV_STSDYn1IFDPWt_1FKiwhDph83XaGc0o0/edit?usp=sharing"",""งบพรบ!CK25"")"),0)</f>
        <v>0</v>
      </c>
      <c r="N173" s="93">
        <f ca="1">IFERROR(__xludf.DUMMYFUNCTION("IMPORTRANGE(""https://docs.google.com/spreadsheets/d/1MeEWN-I1oV_STSDYn1IFDPWt_1FKiwhDph83XaGc0o0/edit?usp=sharing"",""งบพรบ!CM25"")"),0)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221500</v>
      </c>
      <c r="M181" s="155">
        <f t="shared" ca="1" si="92"/>
        <v>86000</v>
      </c>
      <c r="N181" s="155">
        <f t="shared" ca="1" si="92"/>
        <v>47505</v>
      </c>
      <c r="O181" s="155">
        <f t="shared" ref="O181:O189" ca="1" si="93">IF(L181&gt;0,N181*100/L181,0)</f>
        <v>21.446952595936793</v>
      </c>
      <c r="P181" s="155">
        <f t="shared" ref="P181:P189" ca="1" si="94">IF(M181&gt;0,N181*100/M181,0)</f>
        <v>55.238372093023258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221500</v>
      </c>
      <c r="M183" s="93">
        <f t="shared" ca="1" si="95"/>
        <v>86000</v>
      </c>
      <c r="N183" s="93">
        <f t="shared" ca="1" si="95"/>
        <v>47505</v>
      </c>
      <c r="O183" s="93">
        <f t="shared" ca="1" si="93"/>
        <v>21.446952595936793</v>
      </c>
      <c r="P183" s="93">
        <f t="shared" ca="1" si="94"/>
        <v>55.238372093023258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221500</v>
      </c>
      <c r="M184" s="466">
        <f t="shared" ca="1" si="96"/>
        <v>86000</v>
      </c>
      <c r="N184" s="466">
        <f t="shared" ca="1" si="96"/>
        <v>47505</v>
      </c>
      <c r="O184" s="466">
        <f t="shared" ca="1" si="93"/>
        <v>21.446952595936793</v>
      </c>
      <c r="P184" s="466">
        <f t="shared" ca="1" si="94"/>
        <v>55.238372093023258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IFERROR(__xludf.DUMMYFUNCTION("IMPORTRANGE(""https://docs.google.com/spreadsheets/d/1MeEWN-I1oV_STSDYn1IFDPWt_1FKiwhDph83XaGc0o0/edit?usp=sharing"",""งบพรบ!CO25"")"),221500)</f>
        <v>221500</v>
      </c>
      <c r="M186" s="93">
        <f ca="1">IFERROR(__xludf.DUMMYFUNCTION("IMPORTRANGE(""https://docs.google.com/spreadsheets/d/1MeEWN-I1oV_STSDYn1IFDPWt_1FKiwhDph83XaGc0o0/edit?usp=sharing"",""งบพรบ!CT25"")"),86000)</f>
        <v>86000</v>
      </c>
      <c r="N186" s="93">
        <f ca="1">IFERROR(__xludf.DUMMYFUNCTION("IMPORTRANGE(""https://docs.google.com/spreadsheets/d/1MeEWN-I1oV_STSDYn1IFDPWt_1FKiwhDph83XaGc0o0/edit?usp=sharing"",""งบพรบ!CV25"")"),47505)</f>
        <v>47505</v>
      </c>
      <c r="O186" s="93">
        <f t="shared" ca="1" si="93"/>
        <v>21.446952595936793</v>
      </c>
      <c r="P186" s="93">
        <f t="shared" ca="1" si="94"/>
        <v>55.238372093023258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IFERROR(__xludf.DUMMYFUNCTION("IMPORTRANGE(""https://docs.google.com/spreadsheets/d/1MeEWN-I1oV_STSDYn1IFDPWt_1FKiwhDph83XaGc0o0/edit?usp=sharing"",""งบพรบ!CR25"")"),0)</f>
        <v>0</v>
      </c>
      <c r="M189" s="93">
        <f ca="1">IFERROR(__xludf.DUMMYFUNCTION("IMPORTRANGE(""https://docs.google.com/spreadsheets/d/1MeEWN-I1oV_STSDYn1IFDPWt_1FKiwhDph83XaGc0o0/edit?usp=sharing"",""งบพรบ!CU25"")"),0)</f>
        <v>0</v>
      </c>
      <c r="N189" s="93">
        <f ca="1">IFERROR(__xludf.DUMMYFUNCTION("IMPORTRANGE(""https://docs.google.com/spreadsheets/d/1MeEWN-I1oV_STSDYn1IFDPWt_1FKiwhDph83XaGc0o0/edit?usp=sharing"",""งบพรบ!CW25"")"),0)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IFERROR(__xludf.DUMMYFUNCTION("IMPORTRANGE(""https://docs.google.com/spreadsheets/d/1QqKyyYR6Q21VydFLVH3TRQUabQu_ym0Zz7PgGX0-kHA/edit?usp=sharing"",""แผน!Z25"")"),6000)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IFERROR(__xludf.DUMMYFUNCTION("IMPORTRANGE(""https://docs.google.com/spreadsheets/d/1QqKyyYR6Q21VydFLVH3TRQUabQu_ym0Zz7PgGX0-kHA/edit?usp=sharing"",""แผน!AC25"")"),4)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4836</v>
      </c>
      <c r="O198" s="155">
        <f ca="1">IF(L198&gt;0,N198*100/L198,0)</f>
        <v>18.600000000000001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IFERROR(__xludf.DUMMYFUNCTION("IMPORTRANGE(""https://docs.google.com/spreadsheets/d/1QqKyyYR6Q21VydFLVH3TRQUabQu_ym0Zz7PgGX0-kHA/edit?usp=sharing"",""แผน!AE25"")"),2000)</f>
        <v>2000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IFERROR(__xludf.DUMMYFUNCTION("IMPORTRANGE(""https://docs.google.com/spreadsheets/d/1QqKyyYR6Q21VydFLVH3TRQUabQu_ym0Zz7PgGX0-kHA/edit?usp=sharing"",""แผน!AF25"")"),16000)</f>
        <v>16000</v>
      </c>
      <c r="M200" s="466"/>
      <c r="N200" s="798">
        <v>3926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IFERROR(__xludf.DUMMYFUNCTION("IMPORTRANGE(""https://docs.google.com/spreadsheets/d/1QqKyyYR6Q21VydFLVH3TRQUabQu_ym0Zz7PgGX0-kHA/edit?usp=sharing"",""แผน!AG25"")"),8000)</f>
        <v>8000</v>
      </c>
      <c r="M201" s="466"/>
      <c r="N201" s="798">
        <v>910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IFERROR(__xludf.DUMMYFUNCTION("IMPORTRANGE(""https://docs.google.com/spreadsheets/d/1QqKyyYR6Q21VydFLVH3TRQUabQu_ym0Zz7PgGX0-kHA/edit?usp=sharing"",""แผน!AH25"")"),0)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IFERROR(__xludf.DUMMYFUNCTION("IMPORTRANGE(""https://docs.google.com/spreadsheets/d/1QqKyyYR6Q21VydFLVH3TRQUabQu_ym0Zz7PgGX0-kHA/edit?usp=sharing"",""แผน!AI25"")"),2)</f>
        <v>2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IFERROR(__xludf.DUMMYFUNCTION("IMPORTRANGE(""https://docs.google.com/spreadsheets/d/1QqKyyYR6Q21VydFLVH3TRQUabQu_ym0Zz7PgGX0-kHA/edit?usp=sharing"",""แผน!AK25"")"),0)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IFERROR(__xludf.DUMMYFUNCTION("IMPORTRANGE(""https://docs.google.com/spreadsheets/d/1QqKyyYR6Q21VydFLVH3TRQUabQu_ym0Zz7PgGX0-kHA/edit?usp=sharing"",""แผน!AL25"")"),0)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IFERROR(__xludf.DUMMYFUNCTION("IMPORTRANGE(""https://docs.google.com/spreadsheets/d/1QqKyyYR6Q21VydFLVH3TRQUabQu_ym0Zz7PgGX0-kHA/edit?usp=sharing"",""แผน!AM25"")"),0)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46500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IFERROR(__xludf.DUMMYFUNCTION("IMPORTRANGE(""https://docs.google.com/spreadsheets/d/1QqKyyYR6Q21VydFLVH3TRQUabQu_ym0Zz7PgGX0-kHA/edit?usp=sharing"",""แผน!AP25"")"),8000)</f>
        <v>8000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IFERROR(__xludf.DUMMYFUNCTION("IMPORTRANGE(""https://docs.google.com/spreadsheets/d/1QqKyyYR6Q21VydFLVH3TRQUabQu_ym0Zz7PgGX0-kHA/edit?usp=sharing"",""แผน!AQ25"")"),38500)</f>
        <v>38500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IFERROR(__xludf.DUMMYFUNCTION("IMPORTRANGE(""https://docs.google.com/spreadsheets/d/1QqKyyYR6Q21VydFLVH3TRQUabQu_ym0Zz7PgGX0-kHA/edit?usp=sharing"",""แผน!AR25"")"),0)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IFERROR(__xludf.DUMMYFUNCTION("IMPORTRANGE(""https://docs.google.com/spreadsheets/d/1QqKyyYR6Q21VydFLVH3TRQUabQu_ym0Zz7PgGX0-kHA/edit?usp=sharing"",""แผน!AT25"")"),150000)</f>
        <v>150000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IFERROR(__xludf.DUMMYFUNCTION("IMPORTRANGE(""https://docs.google.com/spreadsheets/d/1QqKyyYR6Q21VydFLVH3TRQUabQu_ym0Zz7PgGX0-kHA/edit?usp=sharing"",""แผน!AT25"")"),150000)</f>
        <v>150000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IFERROR(__xludf.DUMMYFUNCTION("IMPORTRANGE(""https://docs.google.com/spreadsheets/d/1QqKyyYR6Q21VydFLVH3TRQUabQu_ym0Zz7PgGX0-kHA/edit?usp=sharing"",""แผน!AS25"")"),0)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25000</v>
      </c>
      <c r="M264" s="466">
        <f t="shared" ca="1" si="120"/>
        <v>22000</v>
      </c>
      <c r="N264" s="466">
        <f t="shared" ca="1" si="120"/>
        <v>0</v>
      </c>
      <c r="O264" s="466">
        <f t="shared" ca="1" si="117"/>
        <v>0</v>
      </c>
      <c r="P264" s="46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IFERROR(__xludf.DUMMYFUNCTION("IMPORTRANGE(""https://docs.google.com/spreadsheets/d/1MeEWN-I1oV_STSDYn1IFDPWt_1FKiwhDph83XaGc0o0/edit?usp=sharing"",""งบพรบ!CY25"")"),25000)</f>
        <v>25000</v>
      </c>
      <c r="M266" s="93">
        <f ca="1">IFERROR(__xludf.DUMMYFUNCTION("IMPORTRANGE(""https://docs.google.com/spreadsheets/d/1MeEWN-I1oV_STSDYn1IFDPWt_1FKiwhDph83XaGc0o0/edit?usp=sharing"",""งบพรบ!DD25"")"),22000)</f>
        <v>22000</v>
      </c>
      <c r="N266" s="93">
        <f ca="1">IFERROR(__xludf.DUMMYFUNCTION("IMPORTRANGE(""https://docs.google.com/spreadsheets/d/1MeEWN-I1oV_STSDYn1IFDPWt_1FKiwhDph83XaGc0o0/edit?usp=sharing"",""งบพรบ!DF25"")"),0)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IFERROR(__xludf.DUMMYFUNCTION("IMPORTRANGE(""https://docs.google.com/spreadsheets/d/1MeEWN-I1oV_STSDYn1IFDPWt_1FKiwhDph83XaGc0o0/edit?usp=sharing"",""งบพรบ!DB25"")"),0)</f>
        <v>0</v>
      </c>
      <c r="M269" s="93">
        <f ca="1">IFERROR(__xludf.DUMMYFUNCTION("IMPORTRANGE(""https://docs.google.com/spreadsheets/d/1MeEWN-I1oV_STSDYn1IFDPWt_1FKiwhDph83XaGc0o0/edit?usp=sharing"",""งบพรบ!DE25"")"),0)</f>
        <v>0</v>
      </c>
      <c r="N269" s="93">
        <f ca="1">IFERROR(__xludf.DUMMYFUNCTION("IMPORTRANGE(""https://docs.google.com/spreadsheets/d/1MeEWN-I1oV_STSDYn1IFDPWt_1FKiwhDph83XaGc0o0/edit?usp=sharing"",""งบพรบ!DG25"")"),0)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IFERROR(__xludf.DUMMYFUNCTION("IMPORTRANGE(""https://docs.google.com/spreadsheets/d/1QqKyyYR6Q21VydFLVH3TRQUabQu_ym0Zz7PgGX0-kHA/edit?usp=sharing"",""แผน!EA25"")"),20)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3">
        <f t="shared" ref="I276:J276" ca="1" si="124">I287</f>
        <v>0</v>
      </c>
      <c r="J276" s="883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IFERROR(__xludf.DUMMYFUNCTION("IMPORTRANGE(""https://docs.google.com/spreadsheets/d/1MeEWN-I1oV_STSDYn1IFDPWt_1FKiwhDph83XaGc0o0/edit?usp=sharing"",""งบพรบ!DI25"")"),0)</f>
        <v>0</v>
      </c>
      <c r="M282" s="93">
        <f ca="1">IFERROR(__xludf.DUMMYFUNCTION("IMPORTRANGE(""https://docs.google.com/spreadsheets/d/1MeEWN-I1oV_STSDYn1IFDPWt_1FKiwhDph83XaGc0o0/edit?usp=sharing"",""งบพรบ!DN25"")"),0)</f>
        <v>0</v>
      </c>
      <c r="N282" s="93">
        <f ca="1">IFERROR(__xludf.DUMMYFUNCTION("IMPORTRANGE(""https://docs.google.com/spreadsheets/d/1MeEWN-I1oV_STSDYn1IFDPWt_1FKiwhDph83XaGc0o0/edit?usp=sharing"",""งบพรบ!DP25"")"),0)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IFERROR(__xludf.DUMMYFUNCTION("IMPORTRANGE(""https://docs.google.com/spreadsheets/d/1MeEWN-I1oV_STSDYn1IFDPWt_1FKiwhDph83XaGc0o0/edit?usp=sharing"",""งบพรบ!DL25"")"),0)</f>
        <v>0</v>
      </c>
      <c r="M285" s="93">
        <f ca="1">IFERROR(__xludf.DUMMYFUNCTION("IMPORTRANGE(""https://docs.google.com/spreadsheets/d/1MeEWN-I1oV_STSDYn1IFDPWt_1FKiwhDph83XaGc0o0/edit?usp=sharing"",""งบพรบ!DO25"")"),0)</f>
        <v>0</v>
      </c>
      <c r="N285" s="93">
        <f ca="1">IFERROR(__xludf.DUMMYFUNCTION("IMPORTRANGE(""https://docs.google.com/spreadsheets/d/1MeEWN-I1oV_STSDYn1IFDPWt_1FKiwhDph83XaGc0o0/edit?usp=sharing"",""งบพรบ!DQ25"")"),0)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IFERROR(__xludf.DUMMYFUNCTION("IMPORTRANGE(""https://docs.google.com/spreadsheets/d/1QqKyyYR6Q21VydFLVH3TRQUabQu_ym0Zz7PgGX0-kHA/edit?usp=sharing"",""แผน!EC25"")"),0)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IFERROR(__xludf.DUMMYFUNCTION("IMPORTRANGE(""https://docs.google.com/spreadsheets/d/1QqKyyYR6Q21VydFLVH3TRQUabQu_ym0Zz7PgGX0-kHA/edit?usp=sharing"",""แผน!EB25"")"),0)</f>
        <v>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3" t="s">
        <v>348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698" t="s">
        <v>348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IFERROR(__xludf.DUMMYFUNCTION("IMPORTRANGE(""https://docs.google.com/spreadsheets/d/1QqKyyYR6Q21VydFLVH3TRQUabQu_ym0Zz7PgGX0-kHA/edit?usp=sharing"",""แผน!EB25"")"),0)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IFERROR(__xludf.DUMMYFUNCTION("IMPORTRANGE(""https://docs.google.com/spreadsheets/d/1MeEWN-I1oV_STSDYn1IFDPWt_1FKiwhDph83XaGc0o0/edit?usp=sharing"",""งบพรบ!DS25"")"),0)</f>
        <v>0</v>
      </c>
      <c r="M303" s="93">
        <f ca="1">IFERROR(__xludf.DUMMYFUNCTION("IMPORTRANGE(""https://docs.google.com/spreadsheets/d/1MeEWN-I1oV_STSDYn1IFDPWt_1FKiwhDph83XaGc0o0/edit?usp=sharing"",""งบพรบ!DX25"")"),0)</f>
        <v>0</v>
      </c>
      <c r="N303" s="93">
        <f ca="1">IFERROR(__xludf.DUMMYFUNCTION("IMPORTRANGE(""https://docs.google.com/spreadsheets/d/1MeEWN-I1oV_STSDYn1IFDPWt_1FKiwhDph83XaGc0o0/edit?usp=sharing"",""งบพรบ!DZ25"")"),0)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IFERROR(__xludf.DUMMYFUNCTION("IMPORTRANGE(""https://docs.google.com/spreadsheets/d/1MeEWN-I1oV_STSDYn1IFDPWt_1FKiwhDph83XaGc0o0/edit?usp=sharing"",""งบพรบ!DV25"")"),0)</f>
        <v>0</v>
      </c>
      <c r="M306" s="93">
        <f ca="1">IFERROR(__xludf.DUMMYFUNCTION("IMPORTRANGE(""https://docs.google.com/spreadsheets/d/1MeEWN-I1oV_STSDYn1IFDPWt_1FKiwhDph83XaGc0o0/edit?usp=sharing"",""งบพรบ!DY25"")"),0)</f>
        <v>0</v>
      </c>
      <c r="N306" s="93">
        <f ca="1">IFERROR(__xludf.DUMMYFUNCTION("IMPORTRANGE(""https://docs.google.com/spreadsheets/d/1MeEWN-I1oV_STSDYn1IFDPWt_1FKiwhDph83XaGc0o0/edit?usp=sharing"",""งบพรบ!EA25"")"),0)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IFERROR(__xludf.DUMMYFUNCTION("IMPORTRANGE(""https://docs.google.com/spreadsheets/d/1QqKyyYR6Q21VydFLVH3TRQUabQu_ym0Zz7PgGX0-kHA/edit?usp=sharing"",""แผน!ED25"")"),0)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IFERROR(__xludf.DUMMYFUNCTION("IMPORTRANGE(""https://docs.google.com/spreadsheets/d/1QqKyyYR6Q21VydFLVH3TRQUabQu_ym0Zz7PgGX0-kHA/edit?usp=sharing"",""แผน!ED25"")"),0)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IFERROR(__xludf.DUMMYFUNCTION("IMPORTRANGE(""https://docs.google.com/spreadsheets/d/1QqKyyYR6Q21VydFLVH3TRQUabQu_ym0Zz7PgGX0-kHA/edit?usp=sharing"",""แผน!ED25"")"),0)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IFERROR(__xludf.DUMMYFUNCTION("IMPORTRANGE(""https://docs.google.com/spreadsheets/d/1QqKyyYR6Q21VydFLVH3TRQUabQu_ym0Zz7PgGX0-kHA/edit?usp=sharing"",""แผน!EE25"")"),0)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IFERROR(__xludf.DUMMYFUNCTION("IMPORTRANGE(""https://docs.google.com/spreadsheets/d/1MeEWN-I1oV_STSDYn1IFDPWt_1FKiwhDph83XaGc0o0/edit?usp=sharing"",""งบพรบ!EC25"")"),0)</f>
        <v>0</v>
      </c>
      <c r="M320" s="93">
        <f ca="1">IFERROR(__xludf.DUMMYFUNCTION("IMPORTRANGE(""https://docs.google.com/spreadsheets/d/1MeEWN-I1oV_STSDYn1IFDPWt_1FKiwhDph83XaGc0o0/edit?usp=sharing"",""งบพรบ!EH25"")"),0)</f>
        <v>0</v>
      </c>
      <c r="N320" s="93">
        <f ca="1">IFERROR(__xludf.DUMMYFUNCTION("IMPORTRANGE(""https://docs.google.com/spreadsheets/d/1MeEWN-I1oV_STSDYn1IFDPWt_1FKiwhDph83XaGc0o0/edit?usp=sharing"",""งบพรบ!EJ25"")"),0)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IFERROR(__xludf.DUMMYFUNCTION("IMPORTRANGE(""https://docs.google.com/spreadsheets/d/1MeEWN-I1oV_STSDYn1IFDPWt_1FKiwhDph83XaGc0o0/edit?usp=sharing"",""งบพรบ!EF25"")"),0)</f>
        <v>0</v>
      </c>
      <c r="M323" s="93">
        <f ca="1">IFERROR(__xludf.DUMMYFUNCTION("IMPORTRANGE(""https://docs.google.com/spreadsheets/d/1MeEWN-I1oV_STSDYn1IFDPWt_1FKiwhDph83XaGc0o0/edit?usp=sharing"",""งบพรบ!EI25"")"),0)</f>
        <v>0</v>
      </c>
      <c r="N323" s="93">
        <f ca="1">IFERROR(__xludf.DUMMYFUNCTION("IMPORTRANGE(""https://docs.google.com/spreadsheets/d/1MeEWN-I1oV_STSDYn1IFDPWt_1FKiwhDph83XaGc0o0/edit?usp=sharing"",""งบพรบ!EK25"")"),0)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IFERROR(__xludf.DUMMYFUNCTION("IMPORTRANGE(""https://docs.google.com/spreadsheets/d/1QqKyyYR6Q21VydFLVH3TRQUabQu_ym0Zz7PgGX0-kHA/edit?usp=sharing"",""แผน!EG25"")"),400)</f>
        <v>400</v>
      </c>
      <c r="J327" s="413">
        <f ca="1">J338+J341+J342+J343</f>
        <v>97</v>
      </c>
      <c r="K327" s="414">
        <f ca="1">IF(I327&gt;0,J327*100/I327,0)</f>
        <v>24.25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82500</v>
      </c>
      <c r="N328" s="155">
        <f t="shared" ca="1" si="149"/>
        <v>39738</v>
      </c>
      <c r="O328" s="155">
        <f t="shared" ref="O328:O336" ca="1" si="150">IF(L328&gt;0,N328*100/L328,0)</f>
        <v>24.083636363636362</v>
      </c>
      <c r="P328" s="155">
        <f t="shared" ref="P328:P336" ca="1" si="151">IF(M328&gt;0,N328*100/M328,0)</f>
        <v>48.167272727272724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165000</v>
      </c>
      <c r="M330" s="93">
        <f t="shared" ca="1" si="152"/>
        <v>82500</v>
      </c>
      <c r="N330" s="93">
        <f t="shared" ca="1" si="152"/>
        <v>39738</v>
      </c>
      <c r="O330" s="93">
        <f t="shared" ca="1" si="150"/>
        <v>24.083636363636362</v>
      </c>
      <c r="P330" s="93">
        <f t="shared" ca="1" si="151"/>
        <v>48.167272727272724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82500</v>
      </c>
      <c r="N331" s="466">
        <f t="shared" ca="1" si="153"/>
        <v>39738</v>
      </c>
      <c r="O331" s="466">
        <f t="shared" ca="1" si="150"/>
        <v>24.083636363636362</v>
      </c>
      <c r="P331" s="466">
        <f t="shared" ca="1" si="151"/>
        <v>48.167272727272724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IFERROR(__xludf.DUMMYFUNCTION("IMPORTRANGE(""https://docs.google.com/spreadsheets/d/1MeEWN-I1oV_STSDYn1IFDPWt_1FKiwhDph83XaGc0o0/edit?usp=sharing"",""งบพรบ!EM25"")"),165000)</f>
        <v>165000</v>
      </c>
      <c r="M333" s="93">
        <f ca="1">IFERROR(__xludf.DUMMYFUNCTION("IMPORTRANGE(""https://docs.google.com/spreadsheets/d/1MeEWN-I1oV_STSDYn1IFDPWt_1FKiwhDph83XaGc0o0/edit?usp=sharing"",""งบพรบ!ER25"")"),82500)</f>
        <v>82500</v>
      </c>
      <c r="N333" s="93">
        <f ca="1">IFERROR(__xludf.DUMMYFUNCTION("IMPORTRANGE(""https://docs.google.com/spreadsheets/d/1MeEWN-I1oV_STSDYn1IFDPWt_1FKiwhDph83XaGc0o0/edit?usp=sharing"",""งบพรบ!ET25"")"),39738)</f>
        <v>39738</v>
      </c>
      <c r="O333" s="93">
        <f t="shared" ca="1" si="150"/>
        <v>24.083636363636362</v>
      </c>
      <c r="P333" s="93">
        <f t="shared" ca="1" si="151"/>
        <v>48.167272727272724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IFERROR(__xludf.DUMMYFUNCTION("IMPORTRANGE(""https://docs.google.com/spreadsheets/d/1MeEWN-I1oV_STSDYn1IFDPWt_1FKiwhDph83XaGc0o0/edit?usp=sharing"",""งบพรบ!EP25"")"),0)</f>
        <v>0</v>
      </c>
      <c r="M336" s="93">
        <f ca="1">IFERROR(__xludf.DUMMYFUNCTION("IMPORTRANGE(""https://docs.google.com/spreadsheets/d/1MeEWN-I1oV_STSDYn1IFDPWt_1FKiwhDph83XaGc0o0/edit?usp=sharing"",""งบพรบ!ES25"")"),0)</f>
        <v>0</v>
      </c>
      <c r="N336" s="93">
        <f ca="1">IFERROR(__xludf.DUMMYFUNCTION("IMPORTRANGE(""https://docs.google.com/spreadsheets/d/1MeEWN-I1oV_STSDYn1IFDPWt_1FKiwhDph83XaGc0o0/edit?usp=sharing"",""งบพรบ!EU25"")"),0)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IFERROR(__xludf.DUMMYFUNCTION("IMPORTRANGE(""https://docs.google.com/spreadsheets/d/1QqKyyYR6Q21VydFLVH3TRQUabQu_ym0Zz7PgGX0-kHA/edit?usp=sharing"",""แผน!EG25"")"),400)</f>
        <v>400</v>
      </c>
      <c r="J338" s="270">
        <f ca="1">IFERROR(__xludf.DUMMYFUNCTION("IMPORTRANGE(""https://docs.google.com/spreadsheets/d/1kVcqe37tkHyjCSG3S0O1AXqVkqjo8mSIZil3BcpIysc/edit?usp=sharing"",""ศูนย์!D25"")"),27)</f>
        <v>27</v>
      </c>
      <c r="K338" s="466">
        <f ca="1">IF(I338&gt;0,J338*100/I338,0)</f>
        <v>6.75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IFERROR(__xludf.DUMMYFUNCTION("IMPORTRANGE(""https://docs.google.com/spreadsheets/d/1QqKyyYR6Q21VydFLVH3TRQUabQu_ym0Zz7PgGX0-kHA/edit?usp=sharing"",""แผน!EH25"")"),6)</f>
        <v>6</v>
      </c>
      <c r="J340" s="270">
        <f ca="1">IFERROR(__xludf.DUMMYFUNCTION("IMPORTRANGE(""https://docs.google.com/spreadsheets/d/1kVcqe37tkHyjCSG3S0O1AXqVkqjo8mSIZil3BcpIysc/edit?usp=sharing"",""ศูนย์!E25"")"),2)</f>
        <v>2</v>
      </c>
      <c r="K340" s="466">
        <f ca="1">IF(I340&gt;0,J340*100/I340,0)</f>
        <v>33.333333333333336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IFERROR(__xludf.DUMMYFUNCTION("IMPORTRANGE(""https://docs.google.com/spreadsheets/d/1kVcqe37tkHyjCSG3S0O1AXqVkqjo8mSIZil3BcpIysc/edit?usp=sharing"",""ศูนย์!F25"")"),54)</f>
        <v>54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IFERROR(__xludf.DUMMYFUNCTION("IMPORTRANGE(""https://docs.google.com/spreadsheets/d/1kVcqe37tkHyjCSG3S0O1AXqVkqjo8mSIZil3BcpIysc/edit?usp=sharing"",""ศูนย์!G25"")"),0)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IFERROR(__xludf.DUMMYFUNCTION("IMPORTRANGE(""https://docs.google.com/spreadsheets/d/1kVcqe37tkHyjCSG3S0O1AXqVkqjo8mSIZil3BcpIysc/edit?usp=sharing"",""ศูนย์!H25"")"),16)</f>
        <v>16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835790</v>
      </c>
      <c r="M345" s="155">
        <f t="shared" ca="1" si="155"/>
        <v>447900</v>
      </c>
      <c r="N345" s="155">
        <f t="shared" ca="1" si="155"/>
        <v>259234</v>
      </c>
      <c r="O345" s="155">
        <f t="shared" ref="O345:O353" ca="1" si="156">IF(L345&gt;0,N345*100/L345,0)</f>
        <v>31.016642936622837</v>
      </c>
      <c r="P345" s="155">
        <f t="shared" ref="P345:P353" ca="1" si="157">IF(M345&gt;0,N345*100/M345,0)</f>
        <v>57.877651261442288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835790</v>
      </c>
      <c r="M347" s="93">
        <f t="shared" ca="1" si="158"/>
        <v>447900</v>
      </c>
      <c r="N347" s="93">
        <f t="shared" ca="1" si="158"/>
        <v>259234</v>
      </c>
      <c r="O347" s="93">
        <f t="shared" ca="1" si="156"/>
        <v>31.016642936622837</v>
      </c>
      <c r="P347" s="93">
        <f t="shared" ca="1" si="157"/>
        <v>57.877651261442288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775790</v>
      </c>
      <c r="M348" s="466">
        <f t="shared" ca="1" si="159"/>
        <v>387900</v>
      </c>
      <c r="N348" s="466">
        <f t="shared" ca="1" si="159"/>
        <v>199234</v>
      </c>
      <c r="O348" s="466">
        <f t="shared" ca="1" si="156"/>
        <v>25.681434408796196</v>
      </c>
      <c r="P348" s="466">
        <f t="shared" ca="1" si="157"/>
        <v>51.362206754318123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IFERROR(__xludf.DUMMYFUNCTION("IMPORTRANGE(""https://docs.google.com/spreadsheets/d/1MeEWN-I1oV_STSDYn1IFDPWt_1FKiwhDph83XaGc0o0/edit?usp=sharing"",""งบพรบ!EW25"")"),775790)</f>
        <v>775790</v>
      </c>
      <c r="M350" s="93">
        <f ca="1">IFERROR(__xludf.DUMMYFUNCTION("IMPORTRANGE(""https://docs.google.com/spreadsheets/d/1MeEWN-I1oV_STSDYn1IFDPWt_1FKiwhDph83XaGc0o0/edit?usp=sharing"",""งบพรบ!FB25"")"),387900)</f>
        <v>387900</v>
      </c>
      <c r="N350" s="93">
        <f ca="1">IFERROR(__xludf.DUMMYFUNCTION("IMPORTRANGE(""https://docs.google.com/spreadsheets/d/1MeEWN-I1oV_STSDYn1IFDPWt_1FKiwhDph83XaGc0o0/edit?usp=sharing"",""งบพรบ!FD25"")"),199234)</f>
        <v>199234</v>
      </c>
      <c r="O350" s="93">
        <f t="shared" ca="1" si="156"/>
        <v>25.681434408796196</v>
      </c>
      <c r="P350" s="93">
        <f t="shared" ca="1" si="157"/>
        <v>51.362206754318123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60000</v>
      </c>
      <c r="N351" s="466">
        <f t="shared" ca="1" si="160"/>
        <v>60000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IFERROR(__xludf.DUMMYFUNCTION("IMPORTRANGE(""https://docs.google.com/spreadsheets/d/1MeEWN-I1oV_STSDYn1IFDPWt_1FKiwhDph83XaGc0o0/edit?usp=sharing"",""งบพรบ!EZ25"")"),60000)</f>
        <v>60000</v>
      </c>
      <c r="M353" s="93">
        <f ca="1">IFERROR(__xludf.DUMMYFUNCTION("IMPORTRANGE(""https://docs.google.com/spreadsheets/d/1MeEWN-I1oV_STSDYn1IFDPWt_1FKiwhDph83XaGc0o0/edit?usp=sharing"",""งบพรบ!FC25"")"),60000)</f>
        <v>60000</v>
      </c>
      <c r="N353" s="93">
        <f ca="1">IFERROR(__xludf.DUMMYFUNCTION("IMPORTRANGE(""https://docs.google.com/spreadsheets/d/1MeEWN-I1oV_STSDYn1IFDPWt_1FKiwhDph83XaGc0o0/edit?usp=sharing"",""งบพรบ!FE25"")"),60000)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IFERROR(__xludf.DUMMYFUNCTION("IMPORTRANGE(""https://docs.google.com/spreadsheets/d/1QqKyyYR6Q21VydFLVH3TRQUabQu_ym0Zz7PgGX0-kHA/edit?usp=sharing"",""แผน!EP25"")"),59)</f>
        <v>59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IFERROR(__xludf.DUMMYFUNCTION("IMPORTRANGE(""https://docs.google.com/spreadsheets/d/1XWAQStnk-4SwqDmLtmXYiTMKHgktTP8We1SCoS47DrQ/edit?usp=sharing"",""จัดที่ดิน!W25"")"),1)</f>
        <v>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IFERROR(__xludf.DUMMYFUNCTION("IMPORTRANGE(""https://docs.google.com/spreadsheets/d/1QqKyyYR6Q21VydFLVH3TRQUabQu_ym0Zz7PgGX0-kHA/edit?usp=sharing"",""แผน!EO25"")"),390)</f>
        <v>390</v>
      </c>
      <c r="J359" s="270">
        <f ca="1">IFERROR(__xludf.DUMMYFUNCTION("IMPORTRANGE(""https://docs.google.com/spreadsheets/d/1XWAQStnk-4SwqDmLtmXYiTMKHgktTP8We1SCoS47DrQ/edit?usp=sharing"",""จัดที่ดิน!X25"")"),0.7)</f>
        <v>0.7</v>
      </c>
      <c r="K359" s="466">
        <f t="shared" ca="1" si="161"/>
        <v>0.17948717948717949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IFERROR(__xludf.DUMMYFUNCTION("IMPORTRANGE(""https://docs.google.com/spreadsheets/d/1QqKyyYR6Q21VydFLVH3TRQUabQu_ym0Zz7PgGX0-kHA/edit?usp=sharing"",""แผน!EP25"")"),59)</f>
        <v>59</v>
      </c>
      <c r="J360" s="270">
        <f ca="1">IFERROR(__xludf.DUMMYFUNCTION("IMPORTRANGE(""https://docs.google.com/spreadsheets/d/1XWAQStnk-4SwqDmLtmXYiTMKHgktTP8We1SCoS47DrQ/edit?usp=sharing"",""จัดที่ดิน!Y25"")"),1)</f>
        <v>1</v>
      </c>
      <c r="K360" s="466">
        <f t="shared" ca="1" si="161"/>
        <v>1.6949152542372881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IFERROR(__xludf.DUMMYFUNCTION("IMPORTRANGE(""https://docs.google.com/spreadsheets/d/1XWAQStnk-4SwqDmLtmXYiTMKHgktTP8We1SCoS47DrQ/edit?usp=sharing"",""จัดที่ดิน!Z25"")"),0.7)</f>
        <v>0.7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IFERROR(__xludf.DUMMYFUNCTION("IMPORTRANGE(""https://docs.google.com/spreadsheets/d/1QqKyyYR6Q21VydFLVH3TRQUabQu_ym0Zz7PgGX0-kHA/edit?usp=sharing"",""แผน!EP25"")"),59)</f>
        <v>59</v>
      </c>
      <c r="J362" s="270">
        <f ca="1">IFERROR(__xludf.DUMMYFUNCTION("IMPORTRANGE(""https://docs.google.com/spreadsheets/d/1XWAQStnk-4SwqDmLtmXYiTMKHgktTP8We1SCoS47DrQ/edit?usp=sharing"",""จัดที่ดิน!AA25"")"),0)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IFERROR(__xludf.DUMMYFUNCTION("IMPORTRANGE(""https://docs.google.com/spreadsheets/d/1XWAQStnk-4SwqDmLtmXYiTMKHgktTP8We1SCoS47DrQ/edit?usp=sharing"",""จัดที่ดิน!AB25"")"),0)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119</v>
      </c>
      <c r="J364" s="447">
        <f t="shared" ca="1" si="162"/>
        <v>8</v>
      </c>
      <c r="K364" s="448">
        <f t="shared" ca="1" si="161"/>
        <v>6.7226890756302522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IFERROR(__xludf.DUMMYFUNCTION("IMPORTRANGE(""https://docs.google.com/spreadsheets/d/1QqKyyYR6Q21VydFLVH3TRQUabQu_ym0Zz7PgGX0-kHA/edit?usp=sharing"",""แผน!EJ25"")"),18)</f>
        <v>18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IFERROR(__xludf.DUMMYFUNCTION("IMPORTRANGE(""https://docs.google.com/spreadsheets/d/1XWAQStnk-4SwqDmLtmXYiTMKHgktTP8We1SCoS47DrQ/edit?usp=sharing"",""จัดที่ดิน!E25"")"),1)</f>
        <v>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IFERROR(__xludf.DUMMYFUNCTION("IMPORTRANGE(""https://docs.google.com/spreadsheets/d/1QqKyyYR6Q21VydFLVH3TRQUabQu_ym0Zz7PgGX0-kHA/edit?usp=sharing"",""แผน!EI25"")"),90)</f>
        <v>90</v>
      </c>
      <c r="J369" s="270">
        <f ca="1">IFERROR(__xludf.DUMMYFUNCTION("IMPORTRANGE(""https://docs.google.com/spreadsheets/d/1XWAQStnk-4SwqDmLtmXYiTMKHgktTP8We1SCoS47DrQ/edit?usp=sharing"",""จัดที่ดิน!F25"")"),0.7)</f>
        <v>0.7</v>
      </c>
      <c r="K369" s="466">
        <f t="shared" ca="1" si="163"/>
        <v>0.77777777777777779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IFERROR(__xludf.DUMMYFUNCTION("IMPORTRANGE(""https://docs.google.com/spreadsheets/d/1QqKyyYR6Q21VydFLVH3TRQUabQu_ym0Zz7PgGX0-kHA/edit?usp=sharing"",""แผน!EJ25"")"),18)</f>
        <v>18</v>
      </c>
      <c r="J370" s="270">
        <f ca="1">IFERROR(__xludf.DUMMYFUNCTION("IMPORTRANGE(""https://docs.google.com/spreadsheets/d/1XWAQStnk-4SwqDmLtmXYiTMKHgktTP8We1SCoS47DrQ/edit?usp=sharing"",""จัดที่ดิน!G25"")"),1)</f>
        <v>1</v>
      </c>
      <c r="K370" s="466">
        <f t="shared" ca="1" si="163"/>
        <v>5.5555555555555554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IFERROR(__xludf.DUMMYFUNCTION("IMPORTRANGE(""https://docs.google.com/spreadsheets/d/1XWAQStnk-4SwqDmLtmXYiTMKHgktTP8We1SCoS47DrQ/edit?usp=sharing"",""จัดที่ดิน!H25"")"),0.7)</f>
        <v>0.7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IFERROR(__xludf.DUMMYFUNCTION("IMPORTRANGE(""https://docs.google.com/spreadsheets/d/1QqKyyYR6Q21VydFLVH3TRQUabQu_ym0Zz7PgGX0-kHA/edit?usp=sharing"",""แผน!EJ25"")"),18)</f>
        <v>18</v>
      </c>
      <c r="J372" s="270">
        <f ca="1">IFERROR(__xludf.DUMMYFUNCTION("IMPORTRANGE(""https://docs.google.com/spreadsheets/d/1XWAQStnk-4SwqDmLtmXYiTMKHgktTP8We1SCoS47DrQ/edit?usp=sharing"",""จัดที่ดิน!I25"")"),0)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IFERROR(__xludf.DUMMYFUNCTION("IMPORTRANGE(""https://docs.google.com/spreadsheets/d/1XWAQStnk-4SwqDmLtmXYiTMKHgktTP8We1SCoS47DrQ/edit?usp=sharing"",""จัดที่ดิน!J25"")"),0)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IFERROR(__xludf.DUMMYFUNCTION("IMPORTRANGE(""https://docs.google.com/spreadsheets/d/1QqKyyYR6Q21VydFLVH3TRQUabQu_ym0Zz7PgGX0-kHA/edit?usp=sharing"",""แผน!EU25"")"),101)</f>
        <v>101</v>
      </c>
      <c r="J374" s="459">
        <f ca="1">J381</f>
        <v>8</v>
      </c>
      <c r="K374" s="460">
        <f t="shared" ca="1" si="163"/>
        <v>7.9207920792079207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IFERROR(__xludf.DUMMYFUNCTION("IMPORTRANGE(""https://docs.google.com/spreadsheets/d/1XWAQStnk-4SwqDmLtmXYiTMKHgktTP8We1SCoS47DrQ/edit?usp=sharing"",""จัดที่ดิน!AH25"")"),0)</f>
        <v>0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IFERROR(__xludf.DUMMYFUNCTION("IMPORTRANGE(""https://docs.google.com/spreadsheets/d/1QqKyyYR6Q21VydFLVH3TRQUabQu_ym0Zz7PgGX0-kHA/edit?usp=sharing"",""แผน!ET25"")"),300)</f>
        <v>300</v>
      </c>
      <c r="J378" s="270">
        <f ca="1">IFERROR(__xludf.DUMMYFUNCTION("IMPORTRANGE(""https://docs.google.com/spreadsheets/d/1XWAQStnk-4SwqDmLtmXYiTMKHgktTP8We1SCoS47DrQ/edit?usp=sharing"",""จัดที่ดิน!AI25"")"),0)</f>
        <v>0</v>
      </c>
      <c r="K378" s="46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IFERROR(__xludf.DUMMYFUNCTION("IMPORTRANGE(""https://docs.google.com/spreadsheets/d/1QqKyyYR6Q21VydFLVH3TRQUabQu_ym0Zz7PgGX0-kHA/edit?usp=sharing"",""แผน!EU25"")"),101)</f>
        <v>101</v>
      </c>
      <c r="J379" s="270">
        <f ca="1">IFERROR(__xludf.DUMMYFUNCTION("IMPORTRANGE(""https://docs.google.com/spreadsheets/d/1XWAQStnk-4SwqDmLtmXYiTMKHgktTP8We1SCoS47DrQ/edit?usp=sharing"",""จัดที่ดิน!AJ25"")"),8)</f>
        <v>8</v>
      </c>
      <c r="K379" s="466">
        <f t="shared" ca="1" si="164"/>
        <v>7.9207920792079207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IFERROR(__xludf.DUMMYFUNCTION("IMPORTRANGE(""https://docs.google.com/spreadsheets/d/1XWAQStnk-4SwqDmLtmXYiTMKHgktTP8We1SCoS47DrQ/edit?usp=sharing"",""จัดที่ดิน!AK25"")"),21.37)</f>
        <v>21.37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IFERROR(__xludf.DUMMYFUNCTION("IMPORTRANGE(""https://docs.google.com/spreadsheets/d/1QqKyyYR6Q21VydFLVH3TRQUabQu_ym0Zz7PgGX0-kHA/edit?usp=sharing"",""แผน!EU25"")"),101)</f>
        <v>101</v>
      </c>
      <c r="J381" s="270">
        <f ca="1">IFERROR(__xludf.DUMMYFUNCTION("IMPORTRANGE(""https://docs.google.com/spreadsheets/d/1XWAQStnk-4SwqDmLtmXYiTMKHgktTP8We1SCoS47DrQ/edit?usp=sharing"",""จัดที่ดิน!AL25"")"),8)</f>
        <v>8</v>
      </c>
      <c r="K381" s="466">
        <f t="shared" ca="1" si="164"/>
        <v>7.9207920792079207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IFERROR(__xludf.DUMMYFUNCTION("IMPORTRANGE(""https://docs.google.com/spreadsheets/d/1XWAQStnk-4SwqDmLtmXYiTMKHgktTP8We1SCoS47DrQ/edit?usp=sharing"",""จัดที่ดิน!AM25"")"),21.37)</f>
        <v>21.37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IFERROR(__xludf.DUMMYFUNCTION("IMPORTRANGE(""https://docs.google.com/spreadsheets/d/1QqKyyYR6Q21VydFLVH3TRQUabQu_ym0Zz7PgGX0-kHA/edit?usp=sharing"",""แผน!EW25"")"),20)</f>
        <v>20</v>
      </c>
      <c r="J385" s="469">
        <f ca="1">IFERROR(__xludf.DUMMYFUNCTION("IMPORTRANGE(""https://docs.google.com/spreadsheets/d/1XWAQStnk-4SwqDmLtmXYiTMKHgktTP8We1SCoS47DrQ/edit?usp=sharing"",""จัดที่ดิน!AP25"")"),0)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IFERROR(__xludf.DUMMYFUNCTION("IMPORTRANGE(""https://docs.google.com/spreadsheets/d/1MeEWN-I1oV_STSDYn1IFDPWt_1FKiwhDph83XaGc0o0/edit?usp=sharing"",""งบพรบ!FG25"")"),0)</f>
        <v>0</v>
      </c>
      <c r="M394" s="93">
        <f ca="1">IFERROR(__xludf.DUMMYFUNCTION("IMPORTRANGE(""https://docs.google.com/spreadsheets/d/1MeEWN-I1oV_STSDYn1IFDPWt_1FKiwhDph83XaGc0o0/edit?usp=sharing"",""งบพรบ!FL25"")"),0)</f>
        <v>0</v>
      </c>
      <c r="N394" s="93">
        <f ca="1">IFERROR(__xludf.DUMMYFUNCTION("IMPORTRANGE(""https://docs.google.com/spreadsheets/d/1MeEWN-I1oV_STSDYn1IFDPWt_1FKiwhDph83XaGc0o0/edit?usp=sharing"",""งบพรบ!FN25"")"),0)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IFERROR(__xludf.DUMMYFUNCTION("IMPORTRANGE(""https://docs.google.com/spreadsheets/d/1MeEWN-I1oV_STSDYn1IFDPWt_1FKiwhDph83XaGc0o0/edit?usp=sharing"",""งบพรบ!FJ25"")"),0)</f>
        <v>0</v>
      </c>
      <c r="M397" s="93">
        <f ca="1">IFERROR(__xludf.DUMMYFUNCTION("IMPORTRANGE(""https://docs.google.com/spreadsheets/d/1MeEWN-I1oV_STSDYn1IFDPWt_1FKiwhDph83XaGc0o0/edit?usp=sharing"",""งบพรบ!FM25"")"),0)</f>
        <v>0</v>
      </c>
      <c r="N397" s="93">
        <f ca="1">IFERROR(__xludf.DUMMYFUNCTION("IMPORTRANGE(""https://docs.google.com/spreadsheets/d/1MeEWN-I1oV_STSDYn1IFDPWt_1FKiwhDph83XaGc0o0/edit?usp=sharing"",""งบพรบ!FO25"")"),0)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IFERROR(__xludf.DUMMYFUNCTION("IMPORTRANGE(""https://docs.google.com/spreadsheets/d/1MeEWN-I1oV_STSDYn1IFDPWt_1FKiwhDph83XaGc0o0/edit?usp=sharing"",""งบพรบ!FQ25"")"),0)</f>
        <v>0</v>
      </c>
      <c r="M407" s="93">
        <f ca="1">IFERROR(__xludf.DUMMYFUNCTION("IMPORTRANGE(""https://docs.google.com/spreadsheets/d/1MeEWN-I1oV_STSDYn1IFDPWt_1FKiwhDph83XaGc0o0/edit?usp=sharing"",""งบพรบ!FV25"")"),0)</f>
        <v>0</v>
      </c>
      <c r="N407" s="93">
        <f ca="1">IFERROR(__xludf.DUMMYFUNCTION("IMPORTRANGE(""https://docs.google.com/spreadsheets/d/1MeEWN-I1oV_STSDYn1IFDPWt_1FKiwhDph83XaGc0o0/edit?usp=sharing"",""งบพรบ!FX25"")"),0)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IFERROR(__xludf.DUMMYFUNCTION("IMPORTRANGE(""https://docs.google.com/spreadsheets/d/1MeEWN-I1oV_STSDYn1IFDPWt_1FKiwhDph83XaGc0o0/edit?usp=sharing"",""งบพรบ!FT25"")"),0)</f>
        <v>0</v>
      </c>
      <c r="M410" s="93">
        <f ca="1">IFERROR(__xludf.DUMMYFUNCTION("IMPORTRANGE(""https://docs.google.com/spreadsheets/d/1MeEWN-I1oV_STSDYn1IFDPWt_1FKiwhDph83XaGc0o0/edit?usp=sharing"",""งบพรบ!FW25"")"),0)</f>
        <v>0</v>
      </c>
      <c r="N410" s="93">
        <f ca="1">IFERROR(__xludf.DUMMYFUNCTION("IMPORTRANGE(""https://docs.google.com/spreadsheets/d/1MeEWN-I1oV_STSDYn1IFDPWt_1FKiwhDph83XaGc0o0/edit?usp=sharing"",""งบพรบ!FY25"")"),0)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768885</v>
      </c>
      <c r="M414" s="517">
        <f t="shared" si="181"/>
        <v>0</v>
      </c>
      <c r="N414" s="517">
        <f t="shared" si="181"/>
        <v>90673</v>
      </c>
      <c r="O414" s="517">
        <f ca="1">IF(L414&gt;0,N414*100/L414,0)</f>
        <v>11.792790859491342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25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86860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86860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86860</v>
      </c>
      <c r="M422" s="466">
        <f t="shared" si="188"/>
        <v>0</v>
      </c>
      <c r="N422" s="466">
        <f t="shared" si="188"/>
        <v>0</v>
      </c>
      <c r="O422" s="466">
        <f t="shared" ca="1" si="185"/>
        <v>0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IFERROR(__xludf.DUMMYFUNCTION("IMPORTRANGE(""https://docs.google.com/spreadsheets/d/1QqKyyYR6Q21VydFLVH3TRQUabQu_ym0Zz7PgGX0-kHA/edit?usp=sharing"",""แผน!EY25"")"),86860)</f>
        <v>86860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25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1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IFERROR(__xludf.DUMMYFUNCTION("IMPORTRANGE(""https://docs.google.com/spreadsheets/d/1QqKyyYR6Q21VydFLVH3TRQUabQu_ym0Zz7PgGX0-kHA/edit?usp=sharing"",""แผน!FC25"")"),25)</f>
        <v>25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IFERROR(__xludf.DUMMYFUNCTION("IMPORTRANGE(""https://docs.google.com/spreadsheets/d/1QqKyyYR6Q21VydFLVH3TRQUabQu_ym0Zz7PgGX0-kHA/edit?usp=sharing"",""แผน!FD25"")"),0)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IFERROR(__xludf.DUMMYFUNCTION("IMPORTRANGE(""https://docs.google.com/spreadsheets/d/1QqKyyYR6Q21VydFLVH3TRQUabQu_ym0Zz7PgGX0-kHA/edit?usp=sharing"",""แผน!FE25"")"),0)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IFERROR(__xludf.DUMMYFUNCTION("IMPORTRANGE(""https://docs.google.com/spreadsheets/d/1QqKyyYR6Q21VydFLVH3TRQUabQu_ym0Zz7PgGX0-kHA/edit?usp=sharing"",""แผน!FF25"")"),25)</f>
        <v>25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IFERROR(__xludf.DUMMYFUNCTION("IMPORTRANGE(""https://docs.google.com/spreadsheets/d/1QqKyyYR6Q21VydFLVH3TRQUabQu_ym0Zz7PgGX0-kHA/edit?usp=sharing"",""แผน!FG25"")"),1)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50</v>
      </c>
      <c r="J442" s="555">
        <f t="shared" si="195"/>
        <v>50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110</v>
      </c>
      <c r="J443" s="533">
        <f t="shared" si="196"/>
        <v>110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354800</v>
      </c>
      <c r="M444" s="195">
        <f t="shared" si="197"/>
        <v>0</v>
      </c>
      <c r="N444" s="195">
        <f t="shared" si="197"/>
        <v>90023</v>
      </c>
      <c r="O444" s="195">
        <f t="shared" ref="O444:O449" ca="1" si="198">IF(L444&gt;0,N444*100/L444,0)</f>
        <v>25.372886133032694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354800</v>
      </c>
      <c r="M446" s="93">
        <f t="shared" si="200"/>
        <v>0</v>
      </c>
      <c r="N446" s="93">
        <f t="shared" si="200"/>
        <v>90023</v>
      </c>
      <c r="O446" s="93">
        <f t="shared" ca="1" si="198"/>
        <v>25.372886133032694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354800</v>
      </c>
      <c r="M447" s="466">
        <f t="shared" si="201"/>
        <v>0</v>
      </c>
      <c r="N447" s="466">
        <f t="shared" si="201"/>
        <v>90023</v>
      </c>
      <c r="O447" s="466">
        <f t="shared" ca="1" si="198"/>
        <v>25.372886133032694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IFERROR(__xludf.DUMMYFUNCTION("IMPORTRANGE(""https://docs.google.com/spreadsheets/d/1QqKyyYR6Q21VydFLVH3TRQUabQu_ym0Zz7PgGX0-kHA/edit?usp=sharing"",""แผน!FJ25"")"),354800)</f>
        <v>354800</v>
      </c>
      <c r="M449" s="93">
        <v>0</v>
      </c>
      <c r="N449" s="93">
        <f>N450+N451+N452+N453</f>
        <v>90023</v>
      </c>
      <c r="O449" s="93">
        <f t="shared" ca="1" si="198"/>
        <v>25.372886133032694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57190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12133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20700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IFERROR(__xludf.DUMMYFUNCTION("IMPORTRANGE(""https://docs.google.com/spreadsheets/d/1QqKyyYR6Q21VydFLVH3TRQUabQu_ym0Zz7PgGX0-kHA/edit?usp=sharing"",""แผน!FN25"")"),50)</f>
        <v>50</v>
      </c>
      <c r="J460" s="215">
        <v>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IFERROR(__xludf.DUMMYFUNCTION("IMPORTRANGE(""https://docs.google.com/spreadsheets/d/1QqKyyYR6Q21VydFLVH3TRQUabQu_ym0Zz7PgGX0-kHA/edit?usp=sharing"",""แผน!FO25"")"),110)</f>
        <v>110</v>
      </c>
      <c r="J462" s="215">
        <v>110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IFERROR(__xludf.DUMMYFUNCTION("IMPORTRANGE(""https://docs.google.com/spreadsheets/d/1QqKyyYR6Q21VydFLVH3TRQUabQu_ym0Zz7PgGX0-kHA/edit?usp=sharing"",""แผน!FO25"")"),110)</f>
        <v>110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IFERROR(__xludf.DUMMYFUNCTION("IMPORTRANGE(""https://docs.google.com/spreadsheets/d/1QqKyyYR6Q21VydFLVH3TRQUabQu_ym0Zz7PgGX0-kHA/edit?usp=sharing"",""แผน!FN25"")"),50)</f>
        <v>50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IFERROR(__xludf.DUMMYFUNCTION("IMPORTRANGE(""https://docs.google.com/spreadsheets/d/1QqKyyYR6Q21VydFLVH3TRQUabQu_ym0Zz7PgGX0-kHA/edit?usp=sharing"",""แผน!FX25"")"),11)</f>
        <v>11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IFERROR(__xludf.DUMMYFUNCTION("IMPORTRANGE(""https://docs.google.com/spreadsheets/d/1QqKyyYR6Q21VydFLVH3TRQUabQu_ym0Zz7PgGX0-kHA/edit?usp=sharing"",""แผน!FW25"")"),100)</f>
        <v>100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112825</v>
      </c>
      <c r="M467" s="195">
        <f t="shared" si="206"/>
        <v>0</v>
      </c>
      <c r="N467" s="195">
        <f t="shared" si="206"/>
        <v>650</v>
      </c>
      <c r="O467" s="195">
        <f t="shared" ref="O467:O472" ca="1" si="207">IF(L467&gt;0,N467*100/L467,0)</f>
        <v>0.57611345003323733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112825</v>
      </c>
      <c r="M469" s="93">
        <f t="shared" si="209"/>
        <v>0</v>
      </c>
      <c r="N469" s="93">
        <f t="shared" si="209"/>
        <v>650</v>
      </c>
      <c r="O469" s="93">
        <f t="shared" ca="1" si="207"/>
        <v>0.57611345003323733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112825</v>
      </c>
      <c r="M470" s="466">
        <f t="shared" si="210"/>
        <v>0</v>
      </c>
      <c r="N470" s="466">
        <f t="shared" si="210"/>
        <v>650</v>
      </c>
      <c r="O470" s="466">
        <f t="shared" ca="1" si="207"/>
        <v>0.57611345003323733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IFERROR(__xludf.DUMMYFUNCTION("IMPORTRANGE(""https://docs.google.com/spreadsheets/d/1QqKyyYR6Q21VydFLVH3TRQUabQu_ym0Zz7PgGX0-kHA/edit?usp=sharing"",""แผน!FS25"")"),112825)</f>
        <v>112825</v>
      </c>
      <c r="M472" s="93">
        <v>0</v>
      </c>
      <c r="N472" s="93">
        <f>N473+N474+N475+N476</f>
        <v>650</v>
      </c>
      <c r="O472" s="93">
        <f t="shared" ca="1" si="207"/>
        <v>0.57611345003323733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650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IFERROR(__xludf.DUMMYFUNCTION("IMPORTRANGE(""https://docs.google.com/spreadsheets/d/1QqKyyYR6Q21VydFLVH3TRQUabQu_ym0Zz7PgGX0-kHA/edit?usp=sharing"",""แผน!FY25"")"),90)</f>
        <v>90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IFERROR(__xludf.DUMMYFUNCTION("IMPORTRANGE(""https://docs.google.com/spreadsheets/d/1QqKyyYR6Q21VydFLVH3TRQUabQu_ym0Zz7PgGX0-kHA/edit?usp=sharing"",""แผน!FZ25"")"),9)</f>
        <v>9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IFERROR(__xludf.DUMMYFUNCTION("IMPORTRANGE(""https://docs.google.com/spreadsheets/d/1QqKyyYR6Q21VydFLVH3TRQUabQu_ym0Zz7PgGX0-kHA/edit?usp=sharing"",""แผน!GA25"")"),10)</f>
        <v>10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IFERROR(__xludf.DUMMYFUNCTION("IMPORTRANGE(""https://docs.google.com/spreadsheets/d/1QqKyyYR6Q21VydFLVH3TRQUabQu_ym0Zz7PgGX0-kHA/edit?usp=sharing"",""แผน!GB25"")"),1)</f>
        <v>1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IFERROR(__xludf.DUMMYFUNCTION("IMPORTRANGE(""https://docs.google.com/spreadsheets/d/1QqKyyYR6Q21VydFLVH3TRQUabQu_ym0Zz7PgGX0-kHA/edit?usp=sharing"",""แผน!GC25"")"),1)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IFERROR(__xludf.DUMMYFUNCTION("IMPORTRANGE(""https://docs.google.com/spreadsheets/d/1QqKyyYR6Q21VydFLVH3TRQUabQu_ym0Zz7PgGX0-kHA/edit?usp=sharing"",""แผน!FY25"")"),90)</f>
        <v>90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IFERROR(__xludf.DUMMYFUNCTION("IMPORTRANGE(""https://docs.google.com/spreadsheets/d/1QqKyyYR6Q21VydFLVH3TRQUabQu_ym0Zz7PgGX0-kHA/edit?usp=sharing"",""แผน!GA25"")"),10)</f>
        <v>10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IFERROR(__xludf.DUMMYFUNCTION("IMPORTRANGE(""https://docs.google.com/spreadsheets/d/1QqKyyYR6Q21VydFLVH3TRQUabQu_ym0Zz7PgGX0-kHA/edit?usp=sharing"",""แผน!GU25"")"),0)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0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214400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214400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214400</v>
      </c>
      <c r="M547" s="466">
        <f t="shared" si="241"/>
        <v>0</v>
      </c>
      <c r="N547" s="466">
        <f t="shared" si="241"/>
        <v>0</v>
      </c>
      <c r="O547" s="466">
        <f t="shared" ca="1" si="237"/>
        <v>0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IFERROR(__xludf.DUMMYFUNCTION("IMPORTRANGE(""https://docs.google.com/spreadsheets/d/1QqKyyYR6Q21VydFLVH3TRQUabQu_ym0Zz7PgGX0-kHA/edit?usp=sharing"",""แผน!HB25"")"),214400)</f>
        <v>214400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 hidden="1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0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 hidden="1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IFERROR(__xludf.DUMMYFUNCTION("IMPORTRANGE(""https://docs.google.com/spreadsheets/d/1QqKyyYR6Q21VydFLVH3TRQUabQu_ym0Zz7PgGX0-kHA/edit?usp=sharing"",""แผน!HH25"")"),0)</f>
        <v>0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 hidden="1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IFERROR(__xludf.DUMMYFUNCTION("IMPORTRANGE(""https://docs.google.com/spreadsheets/d/1QqKyyYR6Q21VydFLVH3TRQUabQu_ym0Zz7PgGX0-kHA/edit?usp=sharing"",""แผน!HG25"")"),0)</f>
        <v>0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 hidden="1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 hidden="1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 hidden="1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 hidden="1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 hidden="1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 hidden="1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 hidden="1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IFERROR(__xludf.DUMMYFUNCTION("IMPORTRANGE(""https://docs.google.com/spreadsheets/d/1QqKyyYR6Q21VydFLVH3TRQUabQu_ym0Zz7PgGX0-kHA/edit?usp=sharing"",""แผน!HH25"")"),0)</f>
        <v>0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 hidden="1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IFERROR(__xludf.DUMMYFUNCTION("IMPORTRANGE(""https://docs.google.com/spreadsheets/d/1QqKyyYR6Q21VydFLVH3TRQUabQu_ym0Zz7PgGX0-kHA/edit?usp=sharing"",""แผน!HG25"")"),0)</f>
        <v>0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 hidden="1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 hidden="1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 hidden="1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 hidden="1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 hidden="1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 hidden="1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 hidden="1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IFERROR(__xludf.DUMMYFUNCTION("IMPORTRANGE(""https://docs.google.com/spreadsheets/d/1QqKyyYR6Q21VydFLVH3TRQUabQu_ym0Zz7PgGX0-kHA/edit?usp=sharing"",""แผน!HH25"")"),0)</f>
        <v>0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 hidden="1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IFERROR(__xludf.DUMMYFUNCTION("IMPORTRANGE(""https://docs.google.com/spreadsheets/d/1QqKyyYR6Q21VydFLVH3TRQUabQu_ym0Zz7PgGX0-kHA/edit?usp=sharing"",""แผน!HG25"")"),0)</f>
        <v>0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 hidden="1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 hidden="1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 hidden="1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 hidden="1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 hidden="1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 hidden="1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 hidden="1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 hidden="1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 hidden="1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 hidden="1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 hidden="1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 hidden="1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 hidden="1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 hidden="1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13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IFERROR(__xludf.DUMMYFUNCTION("IMPORTRANGE(""https://docs.google.com/spreadsheets/d/1QqKyyYR6Q21VydFLVH3TRQUabQu_ym0Zz7PgGX0-kHA/edit?usp=sharing"",""แผน!HJ25"")"),13)</f>
        <v>13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IFERROR(__xludf.DUMMYFUNCTION("IMPORTRANGE(""https://docs.google.com/spreadsheets/d/1QqKyyYR6Q21VydFLVH3TRQUabQu_ym0Zz7PgGX0-kHA/edit?usp=sharing"",""แผน!HI25"")"),8)</f>
        <v>8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IFERROR(__xludf.DUMMYFUNCTION("IMPORTRANGE(""https://docs.google.com/spreadsheets/d/1QqKyyYR6Q21VydFLVH3TRQUabQu_ym0Zz7PgGX0-kHA/edit?usp=sharing"",""แผน!HL25"")"),0)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IFERROR(__xludf.DUMMYFUNCTION("IMPORTRANGE(""https://docs.google.com/spreadsheets/d/1QqKyyYR6Q21VydFLVH3TRQUabQu_ym0Zz7PgGX0-kHA/edit?usp=sharing"",""แผน!HK25"")"),0)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 hidden="1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 hidden="1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 hidden="1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 hidden="1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 hidden="1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 hidden="1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 hidden="1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 hidden="1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 hidden="1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 hidden="1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 hidden="1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 hidden="1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IFERROR(__xludf.DUMMYFUNCTION("IMPORTRANGE(""https://docs.google.com/spreadsheets/d/1XWAQStnk-4SwqDmLtmXYiTMKHgktTP8We1SCoS47DrQ/edit?usp=sharing"",""จัดที่ดิน!AS25"")"),0)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 hidden="1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IFERROR(__xludf.DUMMYFUNCTION("IMPORTRANGE(""https://docs.google.com/spreadsheets/d/1XWAQStnk-4SwqDmLtmXYiTMKHgktTP8We1SCoS47DrQ/edit?usp=sharing"",""จัดที่ดิน!AT25"")"),0)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 hidden="1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IFERROR(__xludf.DUMMYFUNCTION("IMPORTRANGE(""https://docs.google.com/spreadsheets/d/1QqKyyYR6Q21VydFLVH3TRQUabQu_ym0Zz7PgGX0-kHA/edit?usp=sharing"",""แผน!HS25"")"),0)</f>
        <v>0</v>
      </c>
      <c r="J647" s="270">
        <f ca="1">IFERROR(__xludf.DUMMYFUNCTION("IMPORTRANGE(""https://docs.google.com/spreadsheets/d/1XWAQStnk-4SwqDmLtmXYiTMKHgktTP8We1SCoS47DrQ/edit?usp=sharing"",""จัดที่ดิน!AU25"")"),0)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 hidden="1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IFERROR(__xludf.DUMMYFUNCTION("IMPORTRANGE(""https://docs.google.com/spreadsheets/d/1XWAQStnk-4SwqDmLtmXYiTMKHgktTP8We1SCoS47DrQ/edit?usp=sharing"",""จัดที่ดิน!AV25"")"),0)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 hidden="1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IFERROR(__xludf.DUMMYFUNCTION("IMPORTRANGE(""https://docs.google.com/spreadsheets/d/1QqKyyYR6Q21VydFLVH3TRQUabQu_ym0Zz7PgGX0-kHA/edit?usp=sharing"",""แผน!HS25"")"),0)</f>
        <v>0</v>
      </c>
      <c r="J649" s="270">
        <f ca="1">IFERROR(__xludf.DUMMYFUNCTION("IMPORTRANGE(""https://docs.google.com/spreadsheets/d/1XWAQStnk-4SwqDmLtmXYiTMKHgktTP8We1SCoS47DrQ/edit?usp=sharing"",""จัดที่ดิน!AW25"")"),0)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 hidden="1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IFERROR(__xludf.DUMMYFUNCTION("IMPORTRANGE(""https://docs.google.com/spreadsheets/d/1XWAQStnk-4SwqDmLtmXYiTMKHgktTP8We1SCoS47DrQ/edit?usp=sharing"",""จัดที่ดิน!AX25"")"),0)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 hidden="1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IFERROR(__xludf.DUMMYFUNCTION("IMPORTRANGE(""https://docs.google.com/spreadsheets/d/1QqKyyYR6Q21VydFLVH3TRQUabQu_ym0Zz7PgGX0-kHA/edit?usp=sharing"",""แผน!HS25"")"),0)</f>
        <v>0</v>
      </c>
      <c r="J651" s="270">
        <f ca="1">IFERROR(__xludf.DUMMYFUNCTION("IMPORTRANGE(""https://docs.google.com/spreadsheets/d/1XWAQStnk-4SwqDmLtmXYiTMKHgktTP8We1SCoS47DrQ/edit?usp=sharing"",""จัดที่ดิน!AY25"")"),0)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 hidden="1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IFERROR(__xludf.DUMMYFUNCTION("IMPORTRANGE(""https://docs.google.com/spreadsheets/d/1XWAQStnk-4SwqDmLtmXYiTMKHgktTP8We1SCoS47DrQ/edit?usp=sharing"",""จัดที่ดิน!AZ25"")"),0)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IFERROR(__xludf.DUMMYFUNCTION("IMPORTRANGE(""https://docs.google.com/spreadsheets/d/1QqKyyYR6Q21VydFLVH3TRQUabQu_ym0Zz7PgGX0-kHA/edit?usp=sharing"",""แผน!IA25"")"),0)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IFERROR(__xludf.DUMMYFUNCTION("IMPORTRANGE(""https://docs.google.com/spreadsheets/d/1QqKyyYR6Q21VydFLVH3TRQUabQu_ym0Zz7PgGX0-kHA/edit?usp=sharing"",""แผน!HZ25"")"),0)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IFERROR(__xludf.DUMMYFUNCTION("IMPORTRANGE(""https://docs.google.com/spreadsheets/d/1QqKyyYR6Q21VydFLVH3TRQUabQu_ym0Zz7PgGX0-kHA/edit?usp=sharing"",""แผน!HZ25"")"),0)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IFERROR(__xludf.DUMMYFUNCTION("IMPORTRANGE(""https://docs.google.com/spreadsheets/d/1QqKyyYR6Q21VydFLVH3TRQUabQu_ym0Zz7PgGX0-kHA/edit?usp=sharing"",""แผน!IB25"")"),0)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IFERROR(__xludf.DUMMYFUNCTION("IMPORTRANGE(""https://docs.google.com/spreadsheets/d/1QqKyyYR6Q21VydFLVH3TRQUabQu_ym0Zz7PgGX0-kHA/edit?usp=sharing"",""แผน!IC25"")"),0)</f>
        <v>0</v>
      </c>
      <c r="J699" s="270">
        <f ca="1">IFERROR(__xludf.DUMMYFUNCTION("IMPORTRANGE(""https://docs.google.com/spreadsheets/d/1XWAQStnk-4SwqDmLtmXYiTMKHgktTP8We1SCoS47DrQ/edit?usp=sharing"",""จัดที่ดิน!BB25"")"),0)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IFERROR(__xludf.DUMMYFUNCTION("IMPORTRANGE(""https://docs.google.com/spreadsheets/d/1QqKyyYR6Q21VydFLVH3TRQUabQu_ym0Zz7PgGX0-kHA/edit?usp=sharing"",""แผน!ID25"")"),0)</f>
        <v>0</v>
      </c>
      <c r="J700" s="270">
        <f ca="1">IFERROR(__xludf.DUMMYFUNCTION("IMPORTRANGE(""https://docs.google.com/spreadsheets/d/1XWAQStnk-4SwqDmLtmXYiTMKHgktTP8We1SCoS47DrQ/edit?usp=sharing"",""จัดที่ดิน!BD25"")"),0)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IFERROR(__xludf.DUMMYFUNCTION("IMPORTRANGE(""https://docs.google.com/spreadsheets/d/1QqKyyYR6Q21VydFLVH3TRQUabQu_ym0Zz7PgGX0-kHA/edit?usp=sharing"",""แผน!IE25"")"),0)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IFERROR(__xludf.DUMMYFUNCTION("IMPORTRANGE(""https://docs.google.com/spreadsheets/d/1QqKyyYR6Q21VydFLVH3TRQUabQu_ym0Zz7PgGX0-kHA/edit?usp=sharing"",""แผน!IF25"")"),0)</f>
        <v>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IFERROR(__xludf.DUMMYFUNCTION("IMPORTRANGE(""https://docs.google.com/spreadsheets/d/1QqKyyYR6Q21VydFLVH3TRQUabQu_ym0Zz7PgGX0-kHA/edit?usp=sharing"",""แผน!IG25"")"),0)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IFERROR(__xludf.DUMMYFUNCTION("IMPORTRANGE(""https://docs.google.com/spreadsheets/d/1QqKyyYR6Q21VydFLVH3TRQUabQu_ym0Zz7PgGX0-kHA/edit?usp=sharing"",""แผน!IH25"")"),0)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IFERROR(__xludf.DUMMYFUNCTION("IMPORTRANGE(""https://docs.google.com/spreadsheets/d/1XWAQStnk-4SwqDmLtmXYiTMKHgktTP8We1SCoS47DrQ/edit?usp=sharing"",""จัดที่ดิน!BF25"")"),0)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IFERROR(__xludf.DUMMYFUNCTION("IMPORTRANGE(""https://docs.google.com/spreadsheets/d/1XWAQStnk-4SwqDmLtmXYiTMKHgktTP8We1SCoS47DrQ/edit?usp=sharing"",""จัดที่ดิน!BG25"")"),0)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IFERROR(__xludf.DUMMYFUNCTION("IMPORTRANGE(""https://docs.google.com/spreadsheets/d/1QqKyyYR6Q21VydFLVH3TRQUabQu_ym0Zz7PgGX0-kHA/edit?usp=sharing"",""แผน!II25"")"),0)</f>
        <v>0</v>
      </c>
      <c r="J720" s="270">
        <f ca="1">IFERROR(__xludf.DUMMYFUNCTION("IMPORTRANGE(""https://docs.google.com/spreadsheets/d/1XWAQStnk-4SwqDmLtmXYiTMKHgktTP8We1SCoS47DrQ/edit?usp=sharing"",""จัดที่ดิน!BH25"")"),0)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IFERROR(__xludf.DUMMYFUNCTION("IMPORTRANGE(""https://docs.google.com/spreadsheets/d/1QqKyyYR6Q21VydFLVH3TRQUabQu_ym0Zz7PgGX0-kHA/edit?usp=sharing"",""แผน!IJ25"")"),0)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IFERROR(__xludf.DUMMYFUNCTION("IMPORTRANGE(""https://docs.google.com/spreadsheets/d/1QqKyyYR6Q21VydFLVH3TRQUabQu_ym0Zz7PgGX0-kHA/edit?usp=sharing"",""แผน!IK25"")"),0)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IFERROR(__xludf.DUMMYFUNCTION("IMPORTRANGE(""https://docs.google.com/spreadsheets/d/1QqKyyYR6Q21VydFLVH3TRQUabQu_ym0Zz7PgGX0-kHA/edit?usp=sharing"",""แผน!IL25"")"),0)</f>
        <v>0</v>
      </c>
      <c r="J723" s="270">
        <f ca="1">IFERROR(__xludf.DUMMYFUNCTION("IMPORTRANGE(""https://docs.google.com/spreadsheets/d/1XWAQStnk-4SwqDmLtmXYiTMKHgktTP8We1SCoS47DrQ/edit?usp=sharing"",""จัดที่ดิน!BM25"")"),0)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IFERROR(__xludf.DUMMYFUNCTION("IMPORTRANGE(""https://docs.google.com/spreadsheets/d/1XWAQStnk-4SwqDmLtmXYiTMKHgktTP8We1SCoS47DrQ/edit?usp=sharing"",""จัดที่ดิน!BN25"")"),0)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IFERROR(__xludf.DUMMYFUNCTION("IMPORTRANGE(""https://docs.google.com/spreadsheets/d/1QqKyyYR6Q21VydFLVH3TRQUabQu_ym0Zz7PgGX0-kHA/edit?usp=sharing"",""แผน!IM25"")"),0)</f>
        <v>0</v>
      </c>
      <c r="J725" s="270">
        <f ca="1">IFERROR(__xludf.DUMMYFUNCTION("IMPORTRANGE(""https://docs.google.com/spreadsheets/d/1XWAQStnk-4SwqDmLtmXYiTMKHgktTP8We1SCoS47DrQ/edit?usp=sharing"",""จัดที่ดิน!BO25"")"),0)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IFERROR(__xludf.DUMMYFUNCTION("IMPORTRANGE(""https://docs.google.com/spreadsheets/d/1QqKyyYR6Q21VydFLVH3TRQUabQu_ym0Zz7PgGX0-kHA/edit?usp=sharing"",""แผน!IN25"")"),0)</f>
        <v>0</v>
      </c>
      <c r="J726" s="270">
        <f ca="1">IFERROR(__xludf.DUMMYFUNCTION("IMPORTRANGE(""https://docs.google.com/spreadsheets/d/1XWAQStnk-4SwqDmLtmXYiTMKHgktTP8We1SCoS47DrQ/edit?usp=sharing"",""จัดที่ดิน!BR25"")"),0)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IFERROR(__xludf.DUMMYFUNCTION("IMPORTRANGE(""https://docs.google.com/spreadsheets/d/1XWAQStnk-4SwqDmLtmXYiTMKHgktTP8We1SCoS47DrQ/edit?usp=sharing"",""จัดที่ดิน!BS25"")"),0)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IFERROR(__xludf.DUMMYFUNCTION("IMPORTRANGE(""https://docs.google.com/spreadsheets/d/1QqKyyYR6Q21VydFLVH3TRQUabQu_ym0Zz7PgGX0-kHA/edit?usp=sharing"",""แผน!IO25"")"),0)</f>
        <v>0</v>
      </c>
      <c r="J728" s="270">
        <f ca="1">IFERROR(__xludf.DUMMYFUNCTION("IMPORTRANGE(""https://docs.google.com/spreadsheets/d/1XWAQStnk-4SwqDmLtmXYiTMKHgktTP8We1SCoS47DrQ/edit?usp=sharing"",""จัดที่ดิน!BT25"")"),0)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IFERROR(__xludf.DUMMYFUNCTION("IMPORTRANGE(""https://docs.google.com/spreadsheets/d/1QqKyyYR6Q21VydFLVH3TRQUabQu_ym0Zz7PgGX0-kHA/edit?usp=sharing"",""แผน!IP25"")"),0)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84">
        <f t="shared" ref="I785:J785" ca="1" si="318">I800</f>
        <v>0</v>
      </c>
      <c r="J785" s="771">
        <f t="shared" ca="1" si="318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27"/>
      <c r="F789" s="727"/>
      <c r="G789" s="189"/>
      <c r="H789" s="776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27"/>
      <c r="D792" s="727"/>
      <c r="E792" s="727"/>
      <c r="F792" s="727" t="s">
        <v>186</v>
      </c>
      <c r="G792" s="189"/>
      <c r="H792" s="776" t="s">
        <v>12</v>
      </c>
      <c r="I792" s="270"/>
      <c r="J792" s="270"/>
      <c r="K792" s="466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27"/>
      <c r="D793" s="727"/>
      <c r="E793" s="727"/>
      <c r="F793" s="727" t="s">
        <v>187</v>
      </c>
      <c r="G793" s="189"/>
      <c r="H793" s="776" t="s">
        <v>12</v>
      </c>
      <c r="I793" s="270"/>
      <c r="J793" s="270"/>
      <c r="K793" s="466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27"/>
      <c r="D794" s="727"/>
      <c r="E794" s="727"/>
      <c r="F794" s="727" t="s">
        <v>188</v>
      </c>
      <c r="G794" s="189"/>
      <c r="H794" s="776" t="s">
        <v>12</v>
      </c>
      <c r="I794" s="270"/>
      <c r="J794" s="270"/>
      <c r="K794" s="466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27"/>
      <c r="D795" s="727"/>
      <c r="E795" s="727"/>
      <c r="F795" s="727" t="s">
        <v>189</v>
      </c>
      <c r="G795" s="189"/>
      <c r="H795" s="776" t="s">
        <v>12</v>
      </c>
      <c r="I795" s="270"/>
      <c r="J795" s="270"/>
      <c r="K795" s="466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27"/>
      <c r="D796" s="571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774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6"/>
      <c r="H800" s="775" t="s">
        <v>46</v>
      </c>
      <c r="I800" s="184">
        <f ca="1">IFERROR(__xludf.DUMMYFUNCTION("IMPORTRANGE(""https://docs.google.com/spreadsheets/d/1QqKyyYR6Q21VydFLVH3TRQUabQu_ym0Zz7PgGX0-kHA/edit?usp=sharing"",""แผน!JN25"")"),0)</f>
        <v>0</v>
      </c>
      <c r="J800" s="184">
        <f ca="1">IFERROR(__xludf.DUMMYFUNCTION("IMPORTRANGE(""https://docs.google.com/spreadsheets/d/1MaWodYyGHDf7siQLGxnXhG4mBNTNIuy296niS2xXulU/edit?usp=sharing"",""RTK!H25"")"),0)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6"/>
      <c r="H801" s="776" t="s">
        <v>34</v>
      </c>
      <c r="I801" s="184"/>
      <c r="J801" s="270">
        <f ca="1">IFERROR(__xludf.DUMMYFUNCTION("IMPORTRANGE(""https://docs.google.com/spreadsheets/d/1MaWodYyGHDf7siQLGxnXhG4mBNTNIuy296niS2xXulU/edit?usp=sharing"",""RTK!I25"")"),0)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4"/>
      <c r="F802" s="684" t="s">
        <v>321</v>
      </c>
      <c r="G802" s="582"/>
      <c r="H802" s="619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4"/>
      <c r="F803" s="684"/>
      <c r="G803" s="582"/>
      <c r="H803" s="619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7">L806+L807</f>
        <v>0</v>
      </c>
      <c r="M805" s="613">
        <f t="shared" si="327"/>
        <v>0</v>
      </c>
      <c r="N805" s="613">
        <f t="shared" si="327"/>
        <v>0</v>
      </c>
      <c r="O805" s="613">
        <f t="shared" ref="O805:O810" si="328">IF(L805&gt;0,N805*100/L805,0)</f>
        <v>0</v>
      </c>
      <c r="P805" s="613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1">L809+L810</f>
        <v>0</v>
      </c>
      <c r="M808" s="613">
        <f t="shared" si="331"/>
        <v>0</v>
      </c>
      <c r="N808" s="613">
        <f t="shared" si="331"/>
        <v>0</v>
      </c>
      <c r="O808" s="613">
        <f t="shared" si="328"/>
        <v>0</v>
      </c>
      <c r="P808" s="613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2">L816+L817</f>
        <v>0</v>
      </c>
      <c r="M815" s="613">
        <f t="shared" si="332"/>
        <v>0</v>
      </c>
      <c r="N815" s="613">
        <f t="shared" si="332"/>
        <v>0</v>
      </c>
      <c r="O815" s="613">
        <f t="shared" ref="O815:O817" si="333">IF(L815&gt;0,N815*100/L815,0)</f>
        <v>0</v>
      </c>
      <c r="P815" s="613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79"/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IFERROR(__xludf.DUMMYFUNCTION("IMPORTRANGE(""https://docs.google.com/spreadsheets/d/19vJNZY_5yjcGF2XGBMNZRCAIB0Kwfpjp8YEOfu-bneM/edit?usp=sharing"",""งานกองทุน!D25"")"),974996.7)</f>
        <v>974996.7</v>
      </c>
      <c r="J821" s="270">
        <f ca="1">IFERROR(__xludf.DUMMYFUNCTION("IMPORTRANGE(""https://docs.google.com/spreadsheets/d/19vJNZY_5yjcGF2XGBMNZRCAIB0Kwfpjp8YEOfu-bneM/edit?usp=sharing"",""งานกองทุน!F25"")"),182537.36)</f>
        <v>182537.36</v>
      </c>
      <c r="K821" s="466">
        <f t="shared" ref="K821:K828" ca="1" si="335">IF(I821&gt;0,J821*100/I821,0)</f>
        <v>18.721843879061336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IFERROR(__xludf.DUMMYFUNCTION("IMPORTRANGE(""https://docs.google.com/spreadsheets/d/19vJNZY_5yjcGF2XGBMNZRCAIB0Kwfpjp8YEOfu-bneM/edit?usp=sharing"",""งานกองทุน!C25"")"),97)</f>
        <v>97</v>
      </c>
      <c r="J822" s="270">
        <f ca="1">IFERROR(__xludf.DUMMYFUNCTION("IMPORTRANGE(""https://docs.google.com/spreadsheets/d/19vJNZY_5yjcGF2XGBMNZRCAIB0Kwfpjp8YEOfu-bneM/edit?usp=sharing"",""งานกองทุน!E25"")"),15)</f>
        <v>15</v>
      </c>
      <c r="K822" s="466">
        <f t="shared" ca="1" si="335"/>
        <v>15.463917525773196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IFERROR(__xludf.DUMMYFUNCTION("IMPORTRANGE(""https://docs.google.com/spreadsheets/d/19vJNZY_5yjcGF2XGBMNZRCAIB0Kwfpjp8YEOfu-bneM/edit?usp=sharing"",""งานกองทุน!I25"")"),220791)</f>
        <v>220791</v>
      </c>
      <c r="J823" s="270">
        <f ca="1">IFERROR(__xludf.DUMMYFUNCTION("IMPORTRANGE(""https://docs.google.com/spreadsheets/d/19vJNZY_5yjcGF2XGBMNZRCAIB0Kwfpjp8YEOfu-bneM/edit?usp=sharing"",""งานกองทุน!K25"")"),52616.72)</f>
        <v>52616.72</v>
      </c>
      <c r="K823" s="466">
        <f t="shared" ca="1" si="335"/>
        <v>23.831007604476632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IFERROR(__xludf.DUMMYFUNCTION("IMPORTRANGE(""https://docs.google.com/spreadsheets/d/19vJNZY_5yjcGF2XGBMNZRCAIB0Kwfpjp8YEOfu-bneM/edit?usp=sharing"",""งานกองทุน!H25"")"),14)</f>
        <v>14</v>
      </c>
      <c r="J824" s="270">
        <f ca="1">IFERROR(__xludf.DUMMYFUNCTION("IMPORTRANGE(""https://docs.google.com/spreadsheets/d/19vJNZY_5yjcGF2XGBMNZRCAIB0Kwfpjp8YEOfu-bneM/edit?usp=sharing"",""งานกองทุน!J25"")"),6)</f>
        <v>6</v>
      </c>
      <c r="K824" s="466">
        <f t="shared" ca="1" si="335"/>
        <v>42.857142857142854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IFERROR(__xludf.DUMMYFUNCTION("IMPORTRANGE(""https://docs.google.com/spreadsheets/d/19vJNZY_5yjcGF2XGBMNZRCAIB0Kwfpjp8YEOfu-bneM/edit?usp=sharing"",""งานกองทุน!N25"")"),0)</f>
        <v>0</v>
      </c>
      <c r="J825" s="270">
        <f ca="1">IFERROR(__xludf.DUMMYFUNCTION("IMPORTRANGE(""https://docs.google.com/spreadsheets/d/19vJNZY_5yjcGF2XGBMNZRCAIB0Kwfpjp8YEOfu-bneM/edit?usp=sharing"",""งานกองทุน!P25"")"),0)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IFERROR(__xludf.DUMMYFUNCTION("IMPORTRANGE(""https://docs.google.com/spreadsheets/d/19vJNZY_5yjcGF2XGBMNZRCAIB0Kwfpjp8YEOfu-bneM/edit?usp=sharing"",""งานกองทุน!M25"")"),0)</f>
        <v>0</v>
      </c>
      <c r="J826" s="270">
        <f ca="1">IFERROR(__xludf.DUMMYFUNCTION("IMPORTRANGE(""https://docs.google.com/spreadsheets/d/19vJNZY_5yjcGF2XGBMNZRCAIB0Kwfpjp8YEOfu-bneM/edit?usp=sharing"",""งานกองทุน!O25"")"),0)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IFERROR(__xludf.DUMMYFUNCTION("IMPORTRANGE(""https://docs.google.com/spreadsheets/d/19vJNZY_5yjcGF2XGBMNZRCAIB0Kwfpjp8YEOfu-bneM/edit?usp=sharing"",""งานกองทุน!S25"")"),1250000)</f>
        <v>1250000</v>
      </c>
      <c r="J827" s="270">
        <f ca="1">IFERROR(__xludf.DUMMYFUNCTION("IMPORTRANGE(""https://docs.google.com/spreadsheets/d/19vJNZY_5yjcGF2XGBMNZRCAIB0Kwfpjp8YEOfu-bneM/edit?usp=sharing"",""งานกองทุน!U25"")"),450000)</f>
        <v>450000</v>
      </c>
      <c r="K827" s="466">
        <f t="shared" ca="1" si="335"/>
        <v>36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IFERROR(__xludf.DUMMYFUNCTION("IMPORTRANGE(""https://docs.google.com/spreadsheets/d/19vJNZY_5yjcGF2XGBMNZRCAIB0Kwfpjp8YEOfu-bneM/edit?usp=sharing"",""งานกองทุน!R25"")"),50)</f>
        <v>50</v>
      </c>
      <c r="J828" s="469">
        <f ca="1">IFERROR(__xludf.DUMMYFUNCTION("IMPORTRANGE(""https://docs.google.com/spreadsheets/d/19vJNZY_5yjcGF2XGBMNZRCAIB0Kwfpjp8YEOfu-bneM/edit?usp=sharing"",""งานกองทุน!T25"")"),16)</f>
        <v>16</v>
      </c>
      <c r="K828" s="470">
        <f t="shared" ca="1" si="335"/>
        <v>32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9F39E-D833-4C37-A162-BB5153D1DA4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10" width="16.8554687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349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4963269</v>
      </c>
      <c r="M8" s="22">
        <f t="shared" ca="1" si="0"/>
        <v>1291155</v>
      </c>
      <c r="N8" s="22">
        <f t="shared" ca="1" si="0"/>
        <v>1077597.8199999998</v>
      </c>
      <c r="O8" s="22">
        <f t="shared" ref="O8:O16" ca="1" si="1">IF(L8&gt;0,N8*100/L8,0)</f>
        <v>21.711453076591251</v>
      </c>
      <c r="P8" s="22">
        <f t="shared" ref="P8:P16" ca="1" si="2">IF(M8&gt;0,N8*100/M8,0)</f>
        <v>83.459988924644975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4963269</v>
      </c>
      <c r="M10" s="30">
        <f t="shared" ca="1" si="3"/>
        <v>1291155</v>
      </c>
      <c r="N10" s="30">
        <f t="shared" ca="1" si="3"/>
        <v>1077597.8199999998</v>
      </c>
      <c r="O10" s="30">
        <f t="shared" ca="1" si="1"/>
        <v>21.711453076591251</v>
      </c>
      <c r="P10" s="30">
        <f t="shared" ca="1" si="2"/>
        <v>83.459988924644975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4948269</v>
      </c>
      <c r="M11" s="466">
        <f t="shared" ca="1" si="4"/>
        <v>1276155</v>
      </c>
      <c r="N11" s="466">
        <f t="shared" ca="1" si="4"/>
        <v>1062597.8199999998</v>
      </c>
      <c r="O11" s="466">
        <f t="shared" ca="1" si="1"/>
        <v>21.474132065172686</v>
      </c>
      <c r="P11" s="466">
        <f t="shared" ca="1" si="2"/>
        <v>83.265576673679917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4948269</v>
      </c>
      <c r="M13" s="93">
        <f t="shared" ca="1" si="5"/>
        <v>1276155</v>
      </c>
      <c r="N13" s="93">
        <f t="shared" ca="1" si="5"/>
        <v>1062597.8199999998</v>
      </c>
      <c r="O13" s="93">
        <f t="shared" ca="1" si="1"/>
        <v>21.474132065172686</v>
      </c>
      <c r="P13" s="93">
        <f t="shared" ca="1" si="2"/>
        <v>83.265576673679917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15000</v>
      </c>
      <c r="M14" s="466">
        <f t="shared" ca="1" si="6"/>
        <v>15000</v>
      </c>
      <c r="N14" s="466">
        <f t="shared" ca="1" si="6"/>
        <v>15000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15000</v>
      </c>
      <c r="M16" s="52">
        <f t="shared" ca="1" si="7"/>
        <v>15000</v>
      </c>
      <c r="N16" s="52">
        <f t="shared" ca="1" si="7"/>
        <v>15000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2567755</v>
      </c>
      <c r="M18" s="22">
        <f t="shared" ca="1" si="8"/>
        <v>1291155</v>
      </c>
      <c r="N18" s="22">
        <f t="shared" ca="1" si="8"/>
        <v>784720.98</v>
      </c>
      <c r="O18" s="22">
        <f t="shared" ref="O18:O26" ca="1" si="9">IF(L18&gt;0,N18*100/L18,0)</f>
        <v>30.560586192997384</v>
      </c>
      <c r="P18" s="22">
        <f t="shared" ref="P18:P26" ca="1" si="10">IF(M18&gt;0,N18*100/M18,0)</f>
        <v>60.776667402442001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2567755</v>
      </c>
      <c r="M20" s="30">
        <f t="shared" ca="1" si="11"/>
        <v>1291155</v>
      </c>
      <c r="N20" s="30">
        <f t="shared" ca="1" si="11"/>
        <v>784720.98</v>
      </c>
      <c r="O20" s="30">
        <f t="shared" ca="1" si="9"/>
        <v>30.560586192997384</v>
      </c>
      <c r="P20" s="30">
        <f t="shared" ca="1" si="10"/>
        <v>60.776667402442001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2552755</v>
      </c>
      <c r="M21" s="466">
        <f t="shared" ca="1" si="12"/>
        <v>1276155</v>
      </c>
      <c r="N21" s="466">
        <f t="shared" ca="1" si="12"/>
        <v>769720.98</v>
      </c>
      <c r="O21" s="466">
        <f t="shared" ca="1" si="9"/>
        <v>30.152559881383056</v>
      </c>
      <c r="P21" s="466">
        <f t="shared" ca="1" si="10"/>
        <v>60.315634072663585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2552755</v>
      </c>
      <c r="M23" s="93">
        <f t="shared" ca="1" si="13"/>
        <v>1276155</v>
      </c>
      <c r="N23" s="93">
        <f t="shared" ca="1" si="13"/>
        <v>769720.98</v>
      </c>
      <c r="O23" s="93">
        <f t="shared" ca="1" si="9"/>
        <v>30.152559881383056</v>
      </c>
      <c r="P23" s="93">
        <f t="shared" ca="1" si="10"/>
        <v>60.315634072663585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15000</v>
      </c>
      <c r="M24" s="466">
        <f t="shared" ca="1" si="14"/>
        <v>15000</v>
      </c>
      <c r="N24" s="466">
        <f t="shared" ca="1" si="14"/>
        <v>15000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15000</v>
      </c>
      <c r="M26" s="52">
        <f t="shared" ca="1" si="15"/>
        <v>15000</v>
      </c>
      <c r="N26" s="52">
        <f t="shared" ca="1" si="15"/>
        <v>15000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2395514</v>
      </c>
      <c r="M28" s="22">
        <f t="shared" si="16"/>
        <v>0</v>
      </c>
      <c r="N28" s="22">
        <f t="shared" si="16"/>
        <v>292876.83999999997</v>
      </c>
      <c r="O28" s="22">
        <f t="shared" ref="O28:O37" ca="1" si="17">IF(L28&gt;0,N28*100/L28,0)</f>
        <v>12.226054199641496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2395514</v>
      </c>
      <c r="M30" s="30">
        <f t="shared" si="19"/>
        <v>0</v>
      </c>
      <c r="N30" s="30">
        <f t="shared" si="19"/>
        <v>292876.83999999997</v>
      </c>
      <c r="O30" s="30">
        <f t="shared" ca="1" si="17"/>
        <v>12.226054199641496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2395514</v>
      </c>
      <c r="M31" s="466">
        <f t="shared" si="20"/>
        <v>0</v>
      </c>
      <c r="N31" s="466">
        <f t="shared" si="20"/>
        <v>292876.83999999997</v>
      </c>
      <c r="O31" s="466">
        <f t="shared" ca="1" si="17"/>
        <v>12.226054199641496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2395514</v>
      </c>
      <c r="M33" s="93">
        <f t="shared" si="21"/>
        <v>0</v>
      </c>
      <c r="N33" s="93">
        <f t="shared" si="21"/>
        <v>292876.83999999997</v>
      </c>
      <c r="O33" s="93">
        <f t="shared" ca="1" si="17"/>
        <v>12.226054199641496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2567755</v>
      </c>
      <c r="M37" s="832">
        <f t="shared" ca="1" si="24"/>
        <v>1291155</v>
      </c>
      <c r="N37" s="832">
        <f t="shared" ca="1" si="24"/>
        <v>784720.98</v>
      </c>
      <c r="O37" s="832">
        <f t="shared" ca="1" si="17"/>
        <v>30.560586192997384</v>
      </c>
      <c r="P37" s="832">
        <f t="shared" ca="1" si="18"/>
        <v>60.776667402442001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532100</v>
      </c>
      <c r="M41" s="85">
        <f t="shared" ca="1" si="25"/>
        <v>271900</v>
      </c>
      <c r="N41" s="85">
        <f t="shared" ca="1" si="25"/>
        <v>164680</v>
      </c>
      <c r="O41" s="85">
        <f t="shared" ref="O41:O49" ca="1" si="26">IF(L41&gt;0,N41*100/L41,0)</f>
        <v>30.949069723736141</v>
      </c>
      <c r="P41" s="85">
        <f t="shared" ref="P41:P49" ca="1" si="27">IF(M41&gt;0,N41*100/M41,0)</f>
        <v>60.566384700257444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532100</v>
      </c>
      <c r="M43" s="92">
        <f t="shared" ca="1" si="28"/>
        <v>271900</v>
      </c>
      <c r="N43" s="92">
        <f t="shared" ca="1" si="28"/>
        <v>164680</v>
      </c>
      <c r="O43" s="92">
        <f t="shared" ca="1" si="26"/>
        <v>30.949069723736141</v>
      </c>
      <c r="P43" s="92">
        <f t="shared" ca="1" si="27"/>
        <v>60.566384700257444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532100</v>
      </c>
      <c r="M44" s="466">
        <f t="shared" ca="1" si="29"/>
        <v>271900</v>
      </c>
      <c r="N44" s="466">
        <f t="shared" ca="1" si="29"/>
        <v>164680</v>
      </c>
      <c r="O44" s="466">
        <f t="shared" ca="1" si="26"/>
        <v>30.949069723736141</v>
      </c>
      <c r="P44" s="466">
        <f t="shared" ca="1" si="27"/>
        <v>60.566384700257444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IFERROR(__xludf.DUMMYFUNCTION("IMPORTRANGE(""https://docs.google.com/spreadsheets/d/1MeEWN-I1oV_STSDYn1IFDPWt_1FKiwhDph83XaGc0o0/edit?usp=sharing"",""งบพรบ!M26"")"),532100)</f>
        <v>532100</v>
      </c>
      <c r="M46" s="93">
        <f ca="1">IFERROR(__xludf.DUMMYFUNCTION("IMPORTRANGE(""https://docs.google.com/spreadsheets/d/1MeEWN-I1oV_STSDYn1IFDPWt_1FKiwhDph83XaGc0o0/edit?usp=sharing"",""งบพรบ!R26"")"),271900)</f>
        <v>271900</v>
      </c>
      <c r="N46" s="93">
        <f ca="1">IFERROR(__xludf.DUMMYFUNCTION("IMPORTRANGE(""https://docs.google.com/spreadsheets/d/1MeEWN-I1oV_STSDYn1IFDPWt_1FKiwhDph83XaGc0o0/edit?usp=sharing"",""งบพรบ!T26"")"),164680)</f>
        <v>164680</v>
      </c>
      <c r="O46" s="93">
        <f t="shared" ca="1" si="26"/>
        <v>30.949069723736141</v>
      </c>
      <c r="P46" s="93">
        <f t="shared" ca="1" si="27"/>
        <v>60.566384700257444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IFERROR(__xludf.DUMMYFUNCTION("IMPORTRANGE(""https://docs.google.com/spreadsheets/d/1MeEWN-I1oV_STSDYn1IFDPWt_1FKiwhDph83XaGc0o0/edit?usp=sharing"",""งบพรบ!P26"")"),0)</f>
        <v>0</v>
      </c>
      <c r="M49" s="52">
        <f ca="1">IFERROR(__xludf.DUMMYFUNCTION("IMPORTRANGE(""https://docs.google.com/spreadsheets/d/1MeEWN-I1oV_STSDYn1IFDPWt_1FKiwhDph83XaGc0o0/edit?usp=sharing"",""งบพรบ!S26"")"),0)</f>
        <v>0</v>
      </c>
      <c r="N49" s="52">
        <f ca="1">IFERROR(__xludf.DUMMYFUNCTION("IMPORTRANGE(""https://docs.google.com/spreadsheets/d/1MeEWN-I1oV_STSDYn1IFDPWt_1FKiwhDph83XaGc0o0/edit?usp=sharing"",""งบพรบ!U26"")"),0)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647300</v>
      </c>
      <c r="M53" s="116">
        <f t="shared" ca="1" si="31"/>
        <v>323650</v>
      </c>
      <c r="N53" s="116">
        <f t="shared" ca="1" si="31"/>
        <v>252818.86</v>
      </c>
      <c r="O53" s="116">
        <f t="shared" ref="O53:O61" ca="1" si="32">IF(L53&gt;0,N53*100/L53,0)</f>
        <v>39.057447860342961</v>
      </c>
      <c r="P53" s="116">
        <f t="shared" ref="P53:P61" ca="1" si="33">IF(M53&gt;0,N53*100/M53,0)</f>
        <v>78.114895720685922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647300</v>
      </c>
      <c r="M55" s="123">
        <f t="shared" ca="1" si="34"/>
        <v>323650</v>
      </c>
      <c r="N55" s="123">
        <f t="shared" ca="1" si="34"/>
        <v>252818.86</v>
      </c>
      <c r="O55" s="123">
        <f t="shared" ca="1" si="32"/>
        <v>39.057447860342961</v>
      </c>
      <c r="P55" s="123">
        <f t="shared" ca="1" si="33"/>
        <v>78.114895720685922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647300</v>
      </c>
      <c r="M56" s="466">
        <f t="shared" ca="1" si="35"/>
        <v>323650</v>
      </c>
      <c r="N56" s="466">
        <f t="shared" ca="1" si="35"/>
        <v>252818.86</v>
      </c>
      <c r="O56" s="466">
        <f t="shared" ca="1" si="32"/>
        <v>39.057447860342961</v>
      </c>
      <c r="P56" s="466">
        <f t="shared" ca="1" si="33"/>
        <v>78.114895720685922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IFERROR(__xludf.DUMMYFUNCTION("IMPORTRANGE(""https://docs.google.com/spreadsheets/d/1MeEWN-I1oV_STSDYn1IFDPWt_1FKiwhDph83XaGc0o0/edit?usp=sharing"",""งบพรบ!W26"")"),647300)</f>
        <v>647300</v>
      </c>
      <c r="M58" s="93">
        <f ca="1">IFERROR(__xludf.DUMMYFUNCTION("IMPORTRANGE(""https://docs.google.com/spreadsheets/d/1MeEWN-I1oV_STSDYn1IFDPWt_1FKiwhDph83XaGc0o0/edit?usp=sharing"",""งบพรบ!AB26"")"),323650)</f>
        <v>323650</v>
      </c>
      <c r="N58" s="93">
        <f ca="1">IFERROR(__xludf.DUMMYFUNCTION("IMPORTRANGE(""https://docs.google.com/spreadsheets/d/1MeEWN-I1oV_STSDYn1IFDPWt_1FKiwhDph83XaGc0o0/edit?usp=sharing"",""งบพรบ!AD26"")"),252818.86)</f>
        <v>252818.86</v>
      </c>
      <c r="O58" s="93">
        <f t="shared" ca="1" si="32"/>
        <v>39.057447860342961</v>
      </c>
      <c r="P58" s="93">
        <f t="shared" ca="1" si="33"/>
        <v>78.114895720685922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IFERROR(__xludf.DUMMYFUNCTION("IMPORTRANGE(""https://docs.google.com/spreadsheets/d/1MeEWN-I1oV_STSDYn1IFDPWt_1FKiwhDph83XaGc0o0/edit?usp=sharing"",""งบพรบ!Z26"")"),0)</f>
        <v>0</v>
      </c>
      <c r="M61" s="52">
        <f ca="1">IFERROR(__xludf.DUMMYFUNCTION("IMPORTRANGE(""https://docs.google.com/spreadsheets/d/1MeEWN-I1oV_STSDYn1IFDPWt_1FKiwhDph83XaGc0o0/edit?usp=sharing"",""งบพรบ!AC26"")"),0)</f>
        <v>0</v>
      </c>
      <c r="N61" s="52">
        <f ca="1">IFERROR(__xludf.DUMMYFUNCTION("IMPORTRANGE(""https://docs.google.com/spreadsheets/d/1MeEWN-I1oV_STSDYn1IFDPWt_1FKiwhDph83XaGc0o0/edit?usp=sharing"",""งบพรบ!AE26"")"),0)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IFERROR(__xludf.DUMMYFUNCTION("IMPORTRANGE(""https://docs.google.com/spreadsheets/d/1MeEWN-I1oV_STSDYn1IFDPWt_1FKiwhDph83XaGc0o0/edit?usp=sharing"",""งบพรบ!AG26"")"),0)</f>
        <v>0</v>
      </c>
      <c r="M71" s="93">
        <f ca="1">IFERROR(__xludf.DUMMYFUNCTION("IMPORTRANGE(""https://docs.google.com/spreadsheets/d/1MeEWN-I1oV_STSDYn1IFDPWt_1FKiwhDph83XaGc0o0/edit?usp=sharing"",""งบพรบ!AL26"")"),0)</f>
        <v>0</v>
      </c>
      <c r="N71" s="93">
        <f ca="1">IFERROR(__xludf.DUMMYFUNCTION("IMPORTRANGE(""https://docs.google.com/spreadsheets/d/1MeEWN-I1oV_STSDYn1IFDPWt_1FKiwhDph83XaGc0o0/edit?usp=sharing"",""งบพรบ!AN26"")"),0)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IFERROR(__xludf.DUMMYFUNCTION("IMPORTRANGE(""https://docs.google.com/spreadsheets/d/1MeEWN-I1oV_STSDYn1IFDPWt_1FKiwhDph83XaGc0o0/edit?usp=sharing"",""งบพรบ!AJ26"")"),0)</f>
        <v>0</v>
      </c>
      <c r="M74" s="93">
        <f ca="1">IFERROR(__xludf.DUMMYFUNCTION("IMPORTRANGE(""https://docs.google.com/spreadsheets/d/1MeEWN-I1oV_STSDYn1IFDPWt_1FKiwhDph83XaGc0o0/edit?usp=sharing"",""งบพรบ!AM26"")"),0)</f>
        <v>0</v>
      </c>
      <c r="N74" s="93">
        <f ca="1">IFERROR(__xludf.DUMMYFUNCTION("IMPORTRANGE(""https://docs.google.com/spreadsheets/d/1MeEWN-I1oV_STSDYn1IFDPWt_1FKiwhDph83XaGc0o0/edit?usp=sharing"",""งบพรบ!AO26"")"),0)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23840</v>
      </c>
      <c r="N88" s="155">
        <f t="shared" ca="1" si="49"/>
        <v>13710</v>
      </c>
      <c r="O88" s="155">
        <f t="shared" ref="O88:O96" ca="1" si="50">IF(L88&gt;0,N88*100/L88,0)</f>
        <v>15.934449093444909</v>
      </c>
      <c r="P88" s="155">
        <f t="shared" ref="P88:P96" ca="1" si="51">IF(M88&gt;0,N88*100/M88,0)</f>
        <v>57.508389261744966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23840</v>
      </c>
      <c r="N90" s="93">
        <f t="shared" ca="1" si="52"/>
        <v>13710</v>
      </c>
      <c r="O90" s="93">
        <f t="shared" ca="1" si="50"/>
        <v>15.934449093444909</v>
      </c>
      <c r="P90" s="93">
        <f t="shared" ca="1" si="51"/>
        <v>57.508389261744966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23840</v>
      </c>
      <c r="N91" s="466">
        <f t="shared" ca="1" si="53"/>
        <v>13710</v>
      </c>
      <c r="O91" s="466">
        <f t="shared" ca="1" si="50"/>
        <v>15.934449093444909</v>
      </c>
      <c r="P91" s="466">
        <f t="shared" ca="1" si="51"/>
        <v>57.508389261744966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IFERROR(__xludf.DUMMYFUNCTION("IMPORTRANGE(""https://docs.google.com/spreadsheets/d/1MeEWN-I1oV_STSDYn1IFDPWt_1FKiwhDph83XaGc0o0/edit?usp=sharing"",""งบพรบ!AQ26"")"),86040)</f>
        <v>86040</v>
      </c>
      <c r="M93" s="93">
        <f ca="1">IFERROR(__xludf.DUMMYFUNCTION("IMPORTRANGE(""https://docs.google.com/spreadsheets/d/1MeEWN-I1oV_STSDYn1IFDPWt_1FKiwhDph83XaGc0o0/edit?usp=sharing"",""งบพรบ!AV26"")"),23840)</f>
        <v>23840</v>
      </c>
      <c r="N93" s="93">
        <f ca="1">IFERROR(__xludf.DUMMYFUNCTION("IMPORTRANGE(""https://docs.google.com/spreadsheets/d/1MeEWN-I1oV_STSDYn1IFDPWt_1FKiwhDph83XaGc0o0/edit?usp=sharing"",""งบพรบ!AX26"")"),13710)</f>
        <v>13710</v>
      </c>
      <c r="O93" s="93">
        <f t="shared" ca="1" si="50"/>
        <v>15.934449093444909</v>
      </c>
      <c r="P93" s="93">
        <f t="shared" ca="1" si="51"/>
        <v>57.508389261744966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IFERROR(__xludf.DUMMYFUNCTION("IMPORTRANGE(""https://docs.google.com/spreadsheets/d/1MeEWN-I1oV_STSDYn1IFDPWt_1FKiwhDph83XaGc0o0/edit?usp=sharing"",""งบพรบ!AT26"")"),0)</f>
        <v>0</v>
      </c>
      <c r="M96" s="93">
        <f ca="1">IFERROR(__xludf.DUMMYFUNCTION("IMPORTRANGE(""https://docs.google.com/spreadsheets/d/1MeEWN-I1oV_STSDYn1IFDPWt_1FKiwhDph83XaGc0o0/edit?usp=sharing"",""งบพรบ!AW26"")"),0)</f>
        <v>0</v>
      </c>
      <c r="N96" s="93">
        <f ca="1">IFERROR(__xludf.DUMMYFUNCTION("IMPORTRANGE(""https://docs.google.com/spreadsheets/d/1MeEWN-I1oV_STSDYn1IFDPWt_1FKiwhDph83XaGc0o0/edit?usp=sharing"",""งบพรบ!AY26"")"),0)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IFERROR(__xludf.DUMMYFUNCTION("IMPORTRANGE(""https://docs.google.com/spreadsheets/d/1QqKyyYR6Q21VydFLVH3TRQUabQu_ym0Zz7PgGX0-kHA/edit?usp=sharing"",""แผน!M26"")"),2)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IFERROR(__xludf.DUMMYFUNCTION("IMPORTRANGE(""https://docs.google.com/spreadsheets/d/1QqKyyYR6Q21VydFLVH3TRQUabQu_ym0Zz7PgGX0-kHA/edit?usp=sharing"",""แผน!P26"")"),1)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IFERROR(__xludf.DUMMYFUNCTION("IMPORTRANGE(""https://docs.google.com/spreadsheets/d/1QqKyyYR6Q21VydFLVH3TRQUabQu_ym0Zz7PgGX0-kHA/edit?usp=sharing"",""แผน!P26"")"),1)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IFERROR(__xludf.DUMMYFUNCTION("IMPORTRANGE(""https://docs.google.com/spreadsheets/d/1QqKyyYR6Q21VydFLVH3TRQUabQu_ym0Zz7PgGX0-kHA/edit?usp=sharing"",""แผน!Q26"")"),1)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IFERROR(__xludf.DUMMYFUNCTION("IMPORTRANGE(""https://docs.google.com/spreadsheets/d/1QqKyyYR6Q21VydFLVH3TRQUabQu_ym0Zz7PgGX0-kHA/edit?usp=sharing"",""แผน!Q26"")"),1)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IFERROR(__xludf.DUMMYFUNCTION("IMPORTRANGE(""https://docs.google.com/spreadsheets/d/1QqKyyYR6Q21VydFLVH3TRQUabQu_ym0Zz7PgGX0-kHA/edit?usp=sharing"",""แผน!R26"")"),10)</f>
        <v>10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IFERROR(__xludf.DUMMYFUNCTION("IMPORTRANGE(""https://docs.google.com/spreadsheets/d/1MeEWN-I1oV_STSDYn1IFDPWt_1FKiwhDph83XaGc0o0/edit?usp=sharing"",""งบพรบ!BA26"")"),0)</f>
        <v>0</v>
      </c>
      <c r="M124" s="93">
        <f ca="1">IFERROR(__xludf.DUMMYFUNCTION("IMPORTRANGE(""https://docs.google.com/spreadsheets/d/1MeEWN-I1oV_STSDYn1IFDPWt_1FKiwhDph83XaGc0o0/edit?usp=sharing"",""งบพรบ!BF26"")"),0)</f>
        <v>0</v>
      </c>
      <c r="N124" s="93">
        <f ca="1">IFERROR(__xludf.DUMMYFUNCTION("IMPORTRANGE(""https://docs.google.com/spreadsheets/d/1MeEWN-I1oV_STSDYn1IFDPWt_1FKiwhDph83XaGc0o0/edit?usp=sharing"",""งบพรบ!BH26"")"),0)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IFERROR(__xludf.DUMMYFUNCTION("IMPORTRANGE(""https://docs.google.com/spreadsheets/d/1MeEWN-I1oV_STSDYn1IFDPWt_1FKiwhDph83XaGc0o0/edit?usp=sharing"",""งบพรบ!BD26"")"),0)</f>
        <v>0</v>
      </c>
      <c r="M127" s="93">
        <f ca="1">IFERROR(__xludf.DUMMYFUNCTION("IMPORTRANGE(""https://docs.google.com/spreadsheets/d/1MeEWN-I1oV_STSDYn1IFDPWt_1FKiwhDph83XaGc0o0/edit?usp=sharing"",""งบพรบ!BG26"")"),0)</f>
        <v>0</v>
      </c>
      <c r="N127" s="93">
        <f ca="1">IFERROR(__xludf.DUMMYFUNCTION("IMPORTRANGE(""https://docs.google.com/spreadsheets/d/1MeEWN-I1oV_STSDYn1IFDPWt_1FKiwhDph83XaGc0o0/edit?usp=sharing"",""งบพรบ!BI26"")"),0)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IFERROR(__xludf.DUMMYFUNCTION("IMPORTRANGE(""https://docs.google.com/spreadsheets/d/1MeEWN-I1oV_STSDYn1IFDPWt_1FKiwhDph83XaGc0o0/edit?usp=sharing"",""งบพรบ!BK26"")"),0)</f>
        <v>0</v>
      </c>
      <c r="M137" s="93">
        <f ca="1">IFERROR(__xludf.DUMMYFUNCTION("IMPORTRANGE(""https://docs.google.com/spreadsheets/d/1MeEWN-I1oV_STSDYn1IFDPWt_1FKiwhDph83XaGc0o0/edit?usp=sharing"",""งบพรบ!BP26"")"),0)</f>
        <v>0</v>
      </c>
      <c r="N137" s="93">
        <f ca="1">IFERROR(__xludf.DUMMYFUNCTION("IMPORTRANGE(""https://docs.google.com/spreadsheets/d/1MeEWN-I1oV_STSDYn1IFDPWt_1FKiwhDph83XaGc0o0/edit?usp=sharing"",""งบพรบ!BR26"")"),0)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IFERROR(__xludf.DUMMYFUNCTION("IMPORTRANGE(""https://docs.google.com/spreadsheets/d/1MeEWN-I1oV_STSDYn1IFDPWt_1FKiwhDph83XaGc0o0/edit?usp=sharing"",""งบพรบ!BN26"")"),0)</f>
        <v>0</v>
      </c>
      <c r="M140" s="93">
        <f ca="1">IFERROR(__xludf.DUMMYFUNCTION("IMPORTRANGE(""https://docs.google.com/spreadsheets/d/1MeEWN-I1oV_STSDYn1IFDPWt_1FKiwhDph83XaGc0o0/edit?usp=sharing"",""งบพรบ!BQ26"")"),0)</f>
        <v>0</v>
      </c>
      <c r="N140" s="93">
        <f ca="1">IFERROR(__xludf.DUMMYFUNCTION("IMPORTRANGE(""https://docs.google.com/spreadsheets/d/1MeEWN-I1oV_STSDYn1IFDPWt_1FKiwhDph83XaGc0o0/edit?usp=sharing"",""งบพรบ!BS26"")"),0)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2400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2400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2400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IFERROR(__xludf.DUMMYFUNCTION("IMPORTRANGE(""https://docs.google.com/spreadsheets/d/1MeEWN-I1oV_STSDYn1IFDPWt_1FKiwhDph83XaGc0o0/edit?usp=sharing"",""งบพรบ!BU26"")"),0)</f>
        <v>0</v>
      </c>
      <c r="M154" s="93">
        <f ca="1">IFERROR(__xludf.DUMMYFUNCTION("IMPORTRANGE(""https://docs.google.com/spreadsheets/d/1MeEWN-I1oV_STSDYn1IFDPWt_1FKiwhDph83XaGc0o0/edit?usp=sharing"",""งบพรบ!BZ26"")"),2400)</f>
        <v>2400</v>
      </c>
      <c r="N154" s="93">
        <f ca="1">IFERROR(__xludf.DUMMYFUNCTION("IMPORTRANGE(""https://docs.google.com/spreadsheets/d/1MeEWN-I1oV_STSDYn1IFDPWt_1FKiwhDph83XaGc0o0/edit?usp=sharing"",""งบพรบ!CB26"")"),0)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IFERROR(__xludf.DUMMYFUNCTION("IMPORTRANGE(""https://docs.google.com/spreadsheets/d/1MeEWN-I1oV_STSDYn1IFDPWt_1FKiwhDph83XaGc0o0/edit?usp=sharing"",""งบพรบ!BX26"")"),0)</f>
        <v>0</v>
      </c>
      <c r="M157" s="93">
        <f ca="1">IFERROR(__xludf.DUMMYFUNCTION("IMPORTRANGE(""https://docs.google.com/spreadsheets/d/1MeEWN-I1oV_STSDYn1IFDPWt_1FKiwhDph83XaGc0o0/edit?usp=sharing"",""งบพรบ!CA26"")"),0)</f>
        <v>0</v>
      </c>
      <c r="N157" s="93">
        <f ca="1">IFERROR(__xludf.DUMMYFUNCTION("IMPORTRANGE(""https://docs.google.com/spreadsheets/d/1MeEWN-I1oV_STSDYn1IFDPWt_1FKiwhDph83XaGc0o0/edit?usp=sharing"",""งบพรบ!CC26"")"),0)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22055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IFERROR(__xludf.DUMMYFUNCTION("IMPORTRANGE(""https://docs.google.com/spreadsheets/d/1MeEWN-I1oV_STSDYn1IFDPWt_1FKiwhDph83XaGc0o0/edit?usp=sharing"",""งบพรบ!CE26"")"),22055)</f>
        <v>22055</v>
      </c>
      <c r="M170" s="93">
        <f ca="1">IFERROR(__xludf.DUMMYFUNCTION("IMPORTRANGE(""https://docs.google.com/spreadsheets/d/1MeEWN-I1oV_STSDYn1IFDPWt_1FKiwhDph83XaGc0o0/edit?usp=sharing"",""งบพรบ!CJ26"")"),22055)</f>
        <v>22055</v>
      </c>
      <c r="N170" s="93">
        <f ca="1">IFERROR(__xludf.DUMMYFUNCTION("IMPORTRANGE(""https://docs.google.com/spreadsheets/d/1MeEWN-I1oV_STSDYn1IFDPWt_1FKiwhDph83XaGc0o0/edit?usp=sharing"",""งบพรบ!CL26"")"),22055)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IFERROR(__xludf.DUMMYFUNCTION("IMPORTRANGE(""https://docs.google.com/spreadsheets/d/1MeEWN-I1oV_STSDYn1IFDPWt_1FKiwhDph83XaGc0o0/edit?usp=sharing"",""งบพรบ!CH26"")"),0)</f>
        <v>0</v>
      </c>
      <c r="M173" s="93">
        <f ca="1">IFERROR(__xludf.DUMMYFUNCTION("IMPORTRANGE(""https://docs.google.com/spreadsheets/d/1MeEWN-I1oV_STSDYn1IFDPWt_1FKiwhDph83XaGc0o0/edit?usp=sharing"",""งบพรบ!CK26"")"),0)</f>
        <v>0</v>
      </c>
      <c r="N173" s="93">
        <f ca="1">IFERROR(__xludf.DUMMYFUNCTION("IMPORTRANGE(""https://docs.google.com/spreadsheets/d/1MeEWN-I1oV_STSDYn1IFDPWt_1FKiwhDph83XaGc0o0/edit?usp=sharing"",""งบพรบ!CM26"")"),0)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55500</v>
      </c>
      <c r="M181" s="155">
        <f t="shared" ca="1" si="92"/>
        <v>21000</v>
      </c>
      <c r="N181" s="155">
        <f t="shared" ca="1" si="92"/>
        <v>500</v>
      </c>
      <c r="O181" s="155">
        <f t="shared" ref="O181:O189" ca="1" si="93">IF(L181&gt;0,N181*100/L181,0)</f>
        <v>0.90090090090090091</v>
      </c>
      <c r="P181" s="155">
        <f t="shared" ref="P181:P189" ca="1" si="94">IF(M181&gt;0,N181*100/M181,0)</f>
        <v>2.3809523809523809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55500</v>
      </c>
      <c r="M183" s="93">
        <f t="shared" ca="1" si="95"/>
        <v>21000</v>
      </c>
      <c r="N183" s="93">
        <f t="shared" ca="1" si="95"/>
        <v>500</v>
      </c>
      <c r="O183" s="93">
        <f t="shared" ca="1" si="93"/>
        <v>0.90090090090090091</v>
      </c>
      <c r="P183" s="93">
        <f t="shared" ca="1" si="94"/>
        <v>2.3809523809523809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55500</v>
      </c>
      <c r="M184" s="466">
        <f t="shared" ca="1" si="96"/>
        <v>21000</v>
      </c>
      <c r="N184" s="466">
        <f t="shared" ca="1" si="96"/>
        <v>500</v>
      </c>
      <c r="O184" s="466">
        <f t="shared" ca="1" si="93"/>
        <v>0.90090090090090091</v>
      </c>
      <c r="P184" s="466">
        <f t="shared" ca="1" si="94"/>
        <v>2.3809523809523809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IFERROR(__xludf.DUMMYFUNCTION("IMPORTRANGE(""https://docs.google.com/spreadsheets/d/1MeEWN-I1oV_STSDYn1IFDPWt_1FKiwhDph83XaGc0o0/edit?usp=sharing"",""งบพรบ!CO26"")"),55500)</f>
        <v>55500</v>
      </c>
      <c r="M186" s="93">
        <f ca="1">IFERROR(__xludf.DUMMYFUNCTION("IMPORTRANGE(""https://docs.google.com/spreadsheets/d/1MeEWN-I1oV_STSDYn1IFDPWt_1FKiwhDph83XaGc0o0/edit?usp=sharing"",""งบพรบ!CT26"")"),21000)</f>
        <v>21000</v>
      </c>
      <c r="N186" s="93">
        <f ca="1">IFERROR(__xludf.DUMMYFUNCTION("IMPORTRANGE(""https://docs.google.com/spreadsheets/d/1MeEWN-I1oV_STSDYn1IFDPWt_1FKiwhDph83XaGc0o0/edit?usp=sharing"",""งบพรบ!CV26"")"),500)</f>
        <v>500</v>
      </c>
      <c r="O186" s="93">
        <f t="shared" ca="1" si="93"/>
        <v>0.90090090090090091</v>
      </c>
      <c r="P186" s="93">
        <f t="shared" ca="1" si="94"/>
        <v>2.3809523809523809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IFERROR(__xludf.DUMMYFUNCTION("IMPORTRANGE(""https://docs.google.com/spreadsheets/d/1MeEWN-I1oV_STSDYn1IFDPWt_1FKiwhDph83XaGc0o0/edit?usp=sharing"",""งบพรบ!CR26"")"),0)</f>
        <v>0</v>
      </c>
      <c r="M189" s="93">
        <f ca="1">IFERROR(__xludf.DUMMYFUNCTION("IMPORTRANGE(""https://docs.google.com/spreadsheets/d/1MeEWN-I1oV_STSDYn1IFDPWt_1FKiwhDph83XaGc0o0/edit?usp=sharing"",""งบพรบ!CU26"")"),0)</f>
        <v>0</v>
      </c>
      <c r="N189" s="93">
        <f ca="1">IFERROR(__xludf.DUMMYFUNCTION("IMPORTRANGE(""https://docs.google.com/spreadsheets/d/1MeEWN-I1oV_STSDYn1IFDPWt_1FKiwhDph83XaGc0o0/edit?usp=sharing"",""งบพรบ!CW26"")"),0)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IFERROR(__xludf.DUMMYFUNCTION("IMPORTRANGE(""https://docs.google.com/spreadsheets/d/1QqKyyYR6Q21VydFLVH3TRQUabQu_ym0Zz7PgGX0-kHA/edit?usp=sharing"",""แผน!Z26"")"),6000)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IFERROR(__xludf.DUMMYFUNCTION("IMPORTRANGE(""https://docs.google.com/spreadsheets/d/1QqKyyYR6Q21VydFLVH3TRQUabQu_ym0Zz7PgGX0-kHA/edit?usp=sharing"",""แผน!AC26"")"),4)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32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32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31000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IFERROR(__xludf.DUMMYFUNCTION("IMPORTRANGE(""https://docs.google.com/spreadsheets/d/1QqKyyYR6Q21VydFLVH3TRQUabQu_ym0Zz7PgGX0-kHA/edit?usp=sharing"",""แผน!AE26"")"),2000)</f>
        <v>2000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IFERROR(__xludf.DUMMYFUNCTION("IMPORTRANGE(""https://docs.google.com/spreadsheets/d/1QqKyyYR6Q21VydFLVH3TRQUabQu_ym0Zz7PgGX0-kHA/edit?usp=sharing"",""แผน!AF26"")"),16000)</f>
        <v>16000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IFERROR(__xludf.DUMMYFUNCTION("IMPORTRANGE(""https://docs.google.com/spreadsheets/d/1QqKyyYR6Q21VydFLVH3TRQUabQu_ym0Zz7PgGX0-kHA/edit?usp=sharing"",""แผน!AG26"")"),8000)</f>
        <v>8000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IFERROR(__xludf.DUMMYFUNCTION("IMPORTRANGE(""https://docs.google.com/spreadsheets/d/1QqKyyYR6Q21VydFLVH3TRQUabQu_ym0Zz7PgGX0-kHA/edit?usp=sharing"",""แผน!AH26"")"),5000)</f>
        <v>5000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IFERROR(__xludf.DUMMYFUNCTION("IMPORTRANGE(""https://docs.google.com/spreadsheets/d/1QqKyyYR6Q21VydFLVH3TRQUabQu_ym0Zz7PgGX0-kHA/edit?usp=sharing"",""แผน!AI26"")"),2)</f>
        <v>2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IFERROR(__xludf.DUMMYFUNCTION("IMPORTRANGE(""https://docs.google.com/spreadsheets/d/1QqKyyYR6Q21VydFLVH3TRQUabQu_ym0Zz7PgGX0-kHA/edit?usp=sharing"",""แผน!AK26"")"),0)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IFERROR(__xludf.DUMMYFUNCTION("IMPORTRANGE(""https://docs.google.com/spreadsheets/d/1QqKyyYR6Q21VydFLVH3TRQUabQu_ym0Zz7PgGX0-kHA/edit?usp=sharing"",""แผน!AL26"")"),0)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IFERROR(__xludf.DUMMYFUNCTION("IMPORTRANGE(""https://docs.google.com/spreadsheets/d/1QqKyyYR6Q21VydFLVH3TRQUabQu_ym0Zz7PgGX0-kHA/edit?usp=sharing"",""แผน!AM26"")"),0)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IFERROR(__xludf.DUMMYFUNCTION("IMPORTRANGE(""https://docs.google.com/spreadsheets/d/1QqKyyYR6Q21VydFLVH3TRQUabQu_ym0Zz7PgGX0-kHA/edit?usp=sharing"",""แผน!AN26"")"),0)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IFERROR(__xludf.DUMMYFUNCTION("IMPORTRANGE(""https://docs.google.com/spreadsheets/d/1QqKyyYR6Q21VydFLVH3TRQUabQu_ym0Zz7PgGX0-kHA/edit?usp=sharing"",""แผน!AN26"")"),0)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IFERROR(__xludf.DUMMYFUNCTION("IMPORTRANGE(""https://docs.google.com/spreadsheets/d/1QqKyyYR6Q21VydFLVH3TRQUabQu_ym0Zz7PgGX0-kHA/edit?usp=sharing"",""แผน!AP26"")"),5000)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IFERROR(__xludf.DUMMYFUNCTION("IMPORTRANGE(""https://docs.google.com/spreadsheets/d/1QqKyyYR6Q21VydFLVH3TRQUabQu_ym0Zz7PgGX0-kHA/edit?usp=sharing"",""แผน!AQ26"")"),13500)</f>
        <v>13500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IFERROR(__xludf.DUMMYFUNCTION("IMPORTRANGE(""https://docs.google.com/spreadsheets/d/1QqKyyYR6Q21VydFLVH3TRQUabQu_ym0Zz7PgGX0-kHA/edit?usp=sharing"",""แผน!AR26"")"),0)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IFERROR(__xludf.DUMMYFUNCTION("IMPORTRANGE(""https://docs.google.com/spreadsheets/d/1QqKyyYR6Q21VydFLVH3TRQUabQu_ym0Zz7PgGX0-kHA/edit?usp=sharing"",""แผน!AT26"")"),50000)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IFERROR(__xludf.DUMMYFUNCTION("IMPORTRANGE(""https://docs.google.com/spreadsheets/d/1QqKyyYR6Q21VydFLVH3TRQUabQu_ym0Zz7PgGX0-kHA/edit?usp=sharing"",""แผน!AT26"")"),50000)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IFERROR(__xludf.DUMMYFUNCTION("IMPORTRANGE(""https://docs.google.com/spreadsheets/d/1QqKyyYR6Q21VydFLVH3TRQUabQu_ym0Zz7PgGX0-kHA/edit?usp=sharing"",""แผน!AV26"")"),0)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IFERROR(__xludf.DUMMYFUNCTION("IMPORTRANGE(""https://docs.google.com/spreadsheets/d/1QqKyyYR6Q21VydFLVH3TRQUabQu_ym0Zz7PgGX0-kHA/edit?usp=sharing"",""แผน!AW26"")"),0)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IFERROR(__xludf.DUMMYFUNCTION("IMPORTRANGE(""https://docs.google.com/spreadsheets/d/1QqKyyYR6Q21VydFLVH3TRQUabQu_ym0Zz7PgGX0-kHA/edit?usp=sharing"",""แผน!AX26"")"),0)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IFERROR(__xludf.DUMMYFUNCTION("IMPORTRANGE(""https://docs.google.com/spreadsheets/d/1QqKyyYR6Q21VydFLVH3TRQUabQu_ym0Zz7PgGX0-kHA/edit?usp=sharing"",""แผน!AY26"")"),0)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IFERROR(__xludf.DUMMYFUNCTION("IMPORTRANGE(""https://docs.google.com/spreadsheets/d/1QqKyyYR6Q21VydFLVH3TRQUabQu_ym0Zz7PgGX0-kHA/edit?usp=sharing"",""แผน!BE26"")"),0)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IFERROR(__xludf.DUMMYFUNCTION("IMPORTRANGE(""https://docs.google.com/spreadsheets/d/1QqKyyYR6Q21VydFLVH3TRQUabQu_ym0Zz7PgGX0-kHA/edit?usp=sharing"",""แผน!AZ26"")"),0)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IFERROR(__xludf.DUMMYFUNCTION("IMPORTRANGE(""https://docs.google.com/spreadsheets/d/1QqKyyYR6Q21VydFLVH3TRQUabQu_ym0Zz7PgGX0-kHA/edit?usp=sharing"",""แผน!BA26"")"),0)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IFERROR(__xludf.DUMMYFUNCTION("IMPORTRANGE(""https://docs.google.com/spreadsheets/d/1QqKyyYR6Q21VydFLVH3TRQUabQu_ym0Zz7PgGX0-kHA/edit?usp=sharing"",""แผน!BB26"")"),0)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IFERROR(__xludf.DUMMYFUNCTION("IMPORTRANGE(""https://docs.google.com/spreadsheets/d/1QqKyyYR6Q21VydFLVH3TRQUabQu_ym0Zz7PgGX0-kHA/edit?usp=sharing"",""แผน!BC26"")"),0)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34500</v>
      </c>
      <c r="M261" s="155">
        <f t="shared" ca="1" si="116"/>
        <v>31500</v>
      </c>
      <c r="N261" s="155">
        <f t="shared" ca="1" si="116"/>
        <v>31500</v>
      </c>
      <c r="O261" s="155">
        <f t="shared" ref="O261:O269" ca="1" si="117">IF(L261&gt;0,N261*100/L261,0)</f>
        <v>91.304347826086953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34500</v>
      </c>
      <c r="M263" s="93">
        <f t="shared" ca="1" si="119"/>
        <v>31500</v>
      </c>
      <c r="N263" s="93">
        <f t="shared" ca="1" si="119"/>
        <v>31500</v>
      </c>
      <c r="O263" s="93">
        <f t="shared" ca="1" si="117"/>
        <v>91.304347826086953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34500</v>
      </c>
      <c r="M264" s="466">
        <f t="shared" ca="1" si="120"/>
        <v>31500</v>
      </c>
      <c r="N264" s="466">
        <f t="shared" ca="1" si="120"/>
        <v>31500</v>
      </c>
      <c r="O264" s="466">
        <f t="shared" ca="1" si="117"/>
        <v>91.304347826086953</v>
      </c>
      <c r="P264" s="466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IFERROR(__xludf.DUMMYFUNCTION("IMPORTRANGE(""https://docs.google.com/spreadsheets/d/1MeEWN-I1oV_STSDYn1IFDPWt_1FKiwhDph83XaGc0o0/edit?usp=sharing"",""งบพรบ!CY26"")"),34500)</f>
        <v>34500</v>
      </c>
      <c r="M266" s="93">
        <f ca="1">IFERROR(__xludf.DUMMYFUNCTION("IMPORTRANGE(""https://docs.google.com/spreadsheets/d/1MeEWN-I1oV_STSDYn1IFDPWt_1FKiwhDph83XaGc0o0/edit?usp=sharing"",""งบพรบ!DD26"")"),31500)</f>
        <v>31500</v>
      </c>
      <c r="N266" s="93">
        <f ca="1">IFERROR(__xludf.DUMMYFUNCTION("IMPORTRANGE(""https://docs.google.com/spreadsheets/d/1MeEWN-I1oV_STSDYn1IFDPWt_1FKiwhDph83XaGc0o0/edit?usp=sharing"",""งบพรบ!DF26"")"),31500)</f>
        <v>31500</v>
      </c>
      <c r="O266" s="93">
        <f t="shared" ca="1" si="117"/>
        <v>91.304347826086953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IFERROR(__xludf.DUMMYFUNCTION("IMPORTRANGE(""https://docs.google.com/spreadsheets/d/1MeEWN-I1oV_STSDYn1IFDPWt_1FKiwhDph83XaGc0o0/edit?usp=sharing"",""งบพรบ!DB26"")"),0)</f>
        <v>0</v>
      </c>
      <c r="M269" s="93">
        <f ca="1">IFERROR(__xludf.DUMMYFUNCTION("IMPORTRANGE(""https://docs.google.com/spreadsheets/d/1MeEWN-I1oV_STSDYn1IFDPWt_1FKiwhDph83XaGc0o0/edit?usp=sharing"",""งบพรบ!DE26"")"),0)</f>
        <v>0</v>
      </c>
      <c r="N269" s="93">
        <f ca="1">IFERROR(__xludf.DUMMYFUNCTION("IMPORTRANGE(""https://docs.google.com/spreadsheets/d/1MeEWN-I1oV_STSDYn1IFDPWt_1FKiwhDph83XaGc0o0/edit?usp=sharing"",""งบพรบ!DG26"")"),0)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IFERROR(__xludf.DUMMYFUNCTION("IMPORTRANGE(""https://docs.google.com/spreadsheets/d/1QqKyyYR6Q21VydFLVH3TRQUabQu_ym0Zz7PgGX0-kHA/edit?usp=sharing"",""แผน!EA26"")"),30)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300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413310</v>
      </c>
      <c r="M277" s="155">
        <f t="shared" ca="1" si="125"/>
        <v>198830</v>
      </c>
      <c r="N277" s="155">
        <f t="shared" ca="1" si="125"/>
        <v>92847.1</v>
      </c>
      <c r="O277" s="155">
        <f t="shared" ref="O277:O285" ca="1" si="126">IF(L277&gt;0,N277*100/L277,0)</f>
        <v>22.464276209140838</v>
      </c>
      <c r="P277" s="155">
        <f t="shared" ref="P277:P285" ca="1" si="127">IF(M277&gt;0,N277*100/M277,0)</f>
        <v>46.696725846200273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413310</v>
      </c>
      <c r="M279" s="93">
        <f t="shared" ca="1" si="128"/>
        <v>198830</v>
      </c>
      <c r="N279" s="93">
        <f t="shared" ca="1" si="128"/>
        <v>92847.1</v>
      </c>
      <c r="O279" s="93">
        <f t="shared" ca="1" si="126"/>
        <v>22.464276209140838</v>
      </c>
      <c r="P279" s="93">
        <f t="shared" ca="1" si="127"/>
        <v>46.696725846200273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413310</v>
      </c>
      <c r="M280" s="466">
        <f t="shared" ca="1" si="129"/>
        <v>198830</v>
      </c>
      <c r="N280" s="466">
        <f t="shared" ca="1" si="129"/>
        <v>92847.1</v>
      </c>
      <c r="O280" s="466">
        <f t="shared" ca="1" si="126"/>
        <v>22.464276209140838</v>
      </c>
      <c r="P280" s="466">
        <f t="shared" ca="1" si="127"/>
        <v>46.696725846200273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IFERROR(__xludf.DUMMYFUNCTION("IMPORTRANGE(""https://docs.google.com/spreadsheets/d/1MeEWN-I1oV_STSDYn1IFDPWt_1FKiwhDph83XaGc0o0/edit?usp=sharing"",""งบพรบ!DI26"")"),413310)</f>
        <v>413310</v>
      </c>
      <c r="M282" s="93">
        <f ca="1">IFERROR(__xludf.DUMMYFUNCTION("IMPORTRANGE(""https://docs.google.com/spreadsheets/d/1MeEWN-I1oV_STSDYn1IFDPWt_1FKiwhDph83XaGc0o0/edit?usp=sharing"",""งบพรบ!DN26"")"),198830)</f>
        <v>198830</v>
      </c>
      <c r="N282" s="93">
        <f ca="1">IFERROR(__xludf.DUMMYFUNCTION("IMPORTRANGE(""https://docs.google.com/spreadsheets/d/1MeEWN-I1oV_STSDYn1IFDPWt_1FKiwhDph83XaGc0o0/edit?usp=sharing"",""งบพรบ!DP26"")"),92847.1)</f>
        <v>92847.1</v>
      </c>
      <c r="O282" s="93">
        <f t="shared" ca="1" si="126"/>
        <v>22.464276209140838</v>
      </c>
      <c r="P282" s="93">
        <f t="shared" ca="1" si="127"/>
        <v>46.696725846200273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IFERROR(__xludf.DUMMYFUNCTION("IMPORTRANGE(""https://docs.google.com/spreadsheets/d/1MeEWN-I1oV_STSDYn1IFDPWt_1FKiwhDph83XaGc0o0/edit?usp=sharing"",""งบพรบ!DL26"")"),0)</f>
        <v>0</v>
      </c>
      <c r="M285" s="93">
        <f ca="1">IFERROR(__xludf.DUMMYFUNCTION("IMPORTRANGE(""https://docs.google.com/spreadsheets/d/1MeEWN-I1oV_STSDYn1IFDPWt_1FKiwhDph83XaGc0o0/edit?usp=sharing"",""งบพรบ!DO26"")"),0)</f>
        <v>0</v>
      </c>
      <c r="N285" s="93">
        <f ca="1">IFERROR(__xludf.DUMMYFUNCTION("IMPORTRANGE(""https://docs.google.com/spreadsheets/d/1MeEWN-I1oV_STSDYn1IFDPWt_1FKiwhDph83XaGc0o0/edit?usp=sharing"",""งบพรบ!DQ26"")"),0)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IFERROR(__xludf.DUMMYFUNCTION("IMPORTRANGE(""https://docs.google.com/spreadsheets/d/1QqKyyYR6Q21VydFLVH3TRQUabQu_ym0Zz7PgGX0-kHA/edit?usp=sharing"",""แผน!EC26"")"),300)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IFERROR(__xludf.DUMMYFUNCTION("IMPORTRANGE(""https://docs.google.com/spreadsheets/d/1QqKyyYR6Q21VydFLVH3TRQUabQu_ym0Zz7PgGX0-kHA/edit?usp=sharing"",""แผน!EB26"")"),30)</f>
        <v>30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IFERROR(__xludf.DUMMYFUNCTION("IMPORTRANGE(""https://docs.google.com/spreadsheets/d/1QqKyyYR6Q21VydFLVH3TRQUabQu_ym0Zz7PgGX0-kHA/edit?usp=sharing"",""แผน!EB26"")"),30)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IFERROR(__xludf.DUMMYFUNCTION("IMPORTRANGE(""https://docs.google.com/spreadsheets/d/1QqKyyYR6Q21VydFLVH3TRQUabQu_ym0Zz7PgGX0-kHA/edit?usp=sharing"",""แผน!EB26"")"),30)</f>
        <v>30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IFERROR(__xludf.DUMMYFUNCTION("IMPORTRANGE(""https://docs.google.com/spreadsheets/d/1MeEWN-I1oV_STSDYn1IFDPWt_1FKiwhDph83XaGc0o0/edit?usp=sharing"",""งบพรบ!DS26"")"),0)</f>
        <v>0</v>
      </c>
      <c r="M303" s="93">
        <f ca="1">IFERROR(__xludf.DUMMYFUNCTION("IMPORTRANGE(""https://docs.google.com/spreadsheets/d/1MeEWN-I1oV_STSDYn1IFDPWt_1FKiwhDph83XaGc0o0/edit?usp=sharing"",""งบพรบ!DX26"")"),0)</f>
        <v>0</v>
      </c>
      <c r="N303" s="93">
        <f ca="1">IFERROR(__xludf.DUMMYFUNCTION("IMPORTRANGE(""https://docs.google.com/spreadsheets/d/1MeEWN-I1oV_STSDYn1IFDPWt_1FKiwhDph83XaGc0o0/edit?usp=sharing"",""งบพรบ!DZ26"")"),0)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IFERROR(__xludf.DUMMYFUNCTION("IMPORTRANGE(""https://docs.google.com/spreadsheets/d/1MeEWN-I1oV_STSDYn1IFDPWt_1FKiwhDph83XaGc0o0/edit?usp=sharing"",""งบพรบ!DV26"")"),0)</f>
        <v>0</v>
      </c>
      <c r="M306" s="93">
        <f ca="1">IFERROR(__xludf.DUMMYFUNCTION("IMPORTRANGE(""https://docs.google.com/spreadsheets/d/1MeEWN-I1oV_STSDYn1IFDPWt_1FKiwhDph83XaGc0o0/edit?usp=sharing"",""งบพรบ!DY26"")"),0)</f>
        <v>0</v>
      </c>
      <c r="N306" s="93">
        <f ca="1">IFERROR(__xludf.DUMMYFUNCTION("IMPORTRANGE(""https://docs.google.com/spreadsheets/d/1MeEWN-I1oV_STSDYn1IFDPWt_1FKiwhDph83XaGc0o0/edit?usp=sharing"",""งบพรบ!EA26"")"),0)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IFERROR(__xludf.DUMMYFUNCTION("IMPORTRANGE(""https://docs.google.com/spreadsheets/d/1QqKyyYR6Q21VydFLVH3TRQUabQu_ym0Zz7PgGX0-kHA/edit?usp=sharing"",""แผน!ED26"")"),0)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IFERROR(__xludf.DUMMYFUNCTION("IMPORTRANGE(""https://docs.google.com/spreadsheets/d/1QqKyyYR6Q21VydFLVH3TRQUabQu_ym0Zz7PgGX0-kHA/edit?usp=sharing"",""แผน!ED26"")"),0)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IFERROR(__xludf.DUMMYFUNCTION("IMPORTRANGE(""https://docs.google.com/spreadsheets/d/1QqKyyYR6Q21VydFLVH3TRQUabQu_ym0Zz7PgGX0-kHA/edit?usp=sharing"",""แผน!ED26"")"),0)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IFERROR(__xludf.DUMMYFUNCTION("IMPORTRANGE(""https://docs.google.com/spreadsheets/d/1QqKyyYR6Q21VydFLVH3TRQUabQu_ym0Zz7PgGX0-kHA/edit?usp=sharing"",""แผน!EE26"")"),0)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IFERROR(__xludf.DUMMYFUNCTION("IMPORTRANGE(""https://docs.google.com/spreadsheets/d/1MeEWN-I1oV_STSDYn1IFDPWt_1FKiwhDph83XaGc0o0/edit?usp=sharing"",""งบพรบ!EC26"")"),0)</f>
        <v>0</v>
      </c>
      <c r="M320" s="93">
        <f ca="1">IFERROR(__xludf.DUMMYFUNCTION("IMPORTRANGE(""https://docs.google.com/spreadsheets/d/1MeEWN-I1oV_STSDYn1IFDPWt_1FKiwhDph83XaGc0o0/edit?usp=sharing"",""งบพรบ!EH26"")"),0)</f>
        <v>0</v>
      </c>
      <c r="N320" s="93">
        <f ca="1">IFERROR(__xludf.DUMMYFUNCTION("IMPORTRANGE(""https://docs.google.com/spreadsheets/d/1MeEWN-I1oV_STSDYn1IFDPWt_1FKiwhDph83XaGc0o0/edit?usp=sharing"",""งบพรบ!EJ26"")"),0)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IFERROR(__xludf.DUMMYFUNCTION("IMPORTRANGE(""https://docs.google.com/spreadsheets/d/1MeEWN-I1oV_STSDYn1IFDPWt_1FKiwhDph83XaGc0o0/edit?usp=sharing"",""งบพรบ!EF26"")"),0)</f>
        <v>0</v>
      </c>
      <c r="M323" s="93">
        <f ca="1">IFERROR(__xludf.DUMMYFUNCTION("IMPORTRANGE(""https://docs.google.com/spreadsheets/d/1MeEWN-I1oV_STSDYn1IFDPWt_1FKiwhDph83XaGc0o0/edit?usp=sharing"",""งบพรบ!EI26"")"),0)</f>
        <v>0</v>
      </c>
      <c r="N323" s="93">
        <f ca="1">IFERROR(__xludf.DUMMYFUNCTION("IMPORTRANGE(""https://docs.google.com/spreadsheets/d/1MeEWN-I1oV_STSDYn1IFDPWt_1FKiwhDph83XaGc0o0/edit?usp=sharing"",""งบพรบ!EK26"")"),0)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IFERROR(__xludf.DUMMYFUNCTION("IMPORTRANGE(""https://docs.google.com/spreadsheets/d/1QqKyyYR6Q21VydFLVH3TRQUabQu_ym0Zz7PgGX0-kHA/edit?usp=sharing"",""แผน!EF26"")"),0)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IFERROR(__xludf.DUMMYFUNCTION("IMPORTRANGE(""https://docs.google.com/spreadsheets/d/1QqKyyYR6Q21VydFLVH3TRQUabQu_ym0Zz7PgGX0-kHA/edit?usp=sharing"",""แผน!EG26"")"),2000)</f>
        <v>2000</v>
      </c>
      <c r="J327" s="413">
        <f ca="1">J338+J341+J342+J343</f>
        <v>672</v>
      </c>
      <c r="K327" s="414">
        <f ca="1">IF(I327&gt;0,J327*100/I327,0)</f>
        <v>33.6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86000</v>
      </c>
      <c r="N328" s="155">
        <f t="shared" ca="1" si="149"/>
        <v>34940</v>
      </c>
      <c r="O328" s="155">
        <f t="shared" ref="O328:O336" ca="1" si="150">IF(L328&gt;0,N328*100/L328,0)</f>
        <v>20.313953488372093</v>
      </c>
      <c r="P328" s="155">
        <f t="shared" ref="P328:P336" ca="1" si="151">IF(M328&gt;0,N328*100/M328,0)</f>
        <v>40.627906976744185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172000</v>
      </c>
      <c r="M330" s="93">
        <f t="shared" ca="1" si="152"/>
        <v>86000</v>
      </c>
      <c r="N330" s="93">
        <f t="shared" ca="1" si="152"/>
        <v>34940</v>
      </c>
      <c r="O330" s="93">
        <f t="shared" ca="1" si="150"/>
        <v>20.313953488372093</v>
      </c>
      <c r="P330" s="93">
        <f t="shared" ca="1" si="151"/>
        <v>40.627906976744185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86000</v>
      </c>
      <c r="N331" s="466">
        <f t="shared" ca="1" si="153"/>
        <v>34940</v>
      </c>
      <c r="O331" s="466">
        <f t="shared" ca="1" si="150"/>
        <v>20.313953488372093</v>
      </c>
      <c r="P331" s="466">
        <f t="shared" ca="1" si="151"/>
        <v>40.627906976744185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IFERROR(__xludf.DUMMYFUNCTION("IMPORTRANGE(""https://docs.google.com/spreadsheets/d/1MeEWN-I1oV_STSDYn1IFDPWt_1FKiwhDph83XaGc0o0/edit?usp=sharing"",""งบพรบ!EM26"")"),172000)</f>
        <v>172000</v>
      </c>
      <c r="M333" s="93">
        <f ca="1">IFERROR(__xludf.DUMMYFUNCTION("IMPORTRANGE(""https://docs.google.com/spreadsheets/d/1MeEWN-I1oV_STSDYn1IFDPWt_1FKiwhDph83XaGc0o0/edit?usp=sharing"",""งบพรบ!ER26"")"),86000)</f>
        <v>86000</v>
      </c>
      <c r="N333" s="93">
        <f ca="1">IFERROR(__xludf.DUMMYFUNCTION("IMPORTRANGE(""https://docs.google.com/spreadsheets/d/1MeEWN-I1oV_STSDYn1IFDPWt_1FKiwhDph83XaGc0o0/edit?usp=sharing"",""งบพรบ!ET26"")"),34940)</f>
        <v>34940</v>
      </c>
      <c r="O333" s="93">
        <f t="shared" ca="1" si="150"/>
        <v>20.313953488372093</v>
      </c>
      <c r="P333" s="93">
        <f t="shared" ca="1" si="151"/>
        <v>40.627906976744185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IFERROR(__xludf.DUMMYFUNCTION("IMPORTRANGE(""https://docs.google.com/spreadsheets/d/1MeEWN-I1oV_STSDYn1IFDPWt_1FKiwhDph83XaGc0o0/edit?usp=sharing"",""งบพรบ!EP26"")"),0)</f>
        <v>0</v>
      </c>
      <c r="M336" s="93">
        <f ca="1">IFERROR(__xludf.DUMMYFUNCTION("IMPORTRANGE(""https://docs.google.com/spreadsheets/d/1MeEWN-I1oV_STSDYn1IFDPWt_1FKiwhDph83XaGc0o0/edit?usp=sharing"",""งบพรบ!ES26"")"),0)</f>
        <v>0</v>
      </c>
      <c r="N336" s="93">
        <f ca="1">IFERROR(__xludf.DUMMYFUNCTION("IMPORTRANGE(""https://docs.google.com/spreadsheets/d/1MeEWN-I1oV_STSDYn1IFDPWt_1FKiwhDph83XaGc0o0/edit?usp=sharing"",""งบพรบ!EU26"")"),0)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IFERROR(__xludf.DUMMYFUNCTION("IMPORTRANGE(""https://docs.google.com/spreadsheets/d/1QqKyyYR6Q21VydFLVH3TRQUabQu_ym0Zz7PgGX0-kHA/edit?usp=sharing"",""แผน!EG26"")"),2000)</f>
        <v>2000</v>
      </c>
      <c r="J338" s="270">
        <f ca="1">IFERROR(__xludf.DUMMYFUNCTION("IMPORTRANGE(""https://docs.google.com/spreadsheets/d/1kVcqe37tkHyjCSG3S0O1AXqVkqjo8mSIZil3BcpIysc/edit?usp=sharing"",""ศูนย์!D26"")"),672)</f>
        <v>672</v>
      </c>
      <c r="K338" s="466">
        <f ca="1">IF(I338&gt;0,J338*100/I338,0)</f>
        <v>33.6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IFERROR(__xludf.DUMMYFUNCTION("IMPORTRANGE(""https://docs.google.com/spreadsheets/d/1QqKyyYR6Q21VydFLVH3TRQUabQu_ym0Zz7PgGX0-kHA/edit?usp=sharing"",""แผน!EH26"")"),7)</f>
        <v>7</v>
      </c>
      <c r="J340" s="270">
        <f ca="1">IFERROR(__xludf.DUMMYFUNCTION("IMPORTRANGE(""https://docs.google.com/spreadsheets/d/1kVcqe37tkHyjCSG3S0O1AXqVkqjo8mSIZil3BcpIysc/edit?usp=sharing"",""ศูนย์!E26"")"),0)</f>
        <v>0</v>
      </c>
      <c r="K340" s="466">
        <f ca="1">IF(I340&gt;0,J340*100/I340,0)</f>
        <v>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IFERROR(__xludf.DUMMYFUNCTION("IMPORTRANGE(""https://docs.google.com/spreadsheets/d/1kVcqe37tkHyjCSG3S0O1AXqVkqjo8mSIZil3BcpIysc/edit?usp=sharing"",""ศูนย์!F26"")"),0)</f>
        <v>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IFERROR(__xludf.DUMMYFUNCTION("IMPORTRANGE(""https://docs.google.com/spreadsheets/d/1kVcqe37tkHyjCSG3S0O1AXqVkqjo8mSIZil3BcpIysc/edit?usp=sharing"",""ศูนย์!G26"")"),0)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IFERROR(__xludf.DUMMYFUNCTION("IMPORTRANGE(""https://docs.google.com/spreadsheets/d/1kVcqe37tkHyjCSG3S0O1AXqVkqjo8mSIZil3BcpIysc/edit?usp=sharing"",""ศูนย์!H26"")"),0)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604950</v>
      </c>
      <c r="M345" s="155">
        <f t="shared" ca="1" si="155"/>
        <v>309980</v>
      </c>
      <c r="N345" s="155">
        <f t="shared" ca="1" si="155"/>
        <v>171670.02</v>
      </c>
      <c r="O345" s="155">
        <f t="shared" ref="O345:O353" ca="1" si="156">IF(L345&gt;0,N345*100/L345,0)</f>
        <v>28.377555169848748</v>
      </c>
      <c r="P345" s="155">
        <f t="shared" ref="P345:P353" ca="1" si="157">IF(M345&gt;0,N345*100/M345,0)</f>
        <v>55.38099877411446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604950</v>
      </c>
      <c r="M347" s="93">
        <f t="shared" ca="1" si="158"/>
        <v>309980</v>
      </c>
      <c r="N347" s="93">
        <f t="shared" ca="1" si="158"/>
        <v>171670.02</v>
      </c>
      <c r="O347" s="93">
        <f t="shared" ca="1" si="156"/>
        <v>28.377555169848748</v>
      </c>
      <c r="P347" s="93">
        <f t="shared" ca="1" si="157"/>
        <v>55.38099877411446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589950</v>
      </c>
      <c r="M348" s="466">
        <f t="shared" ca="1" si="159"/>
        <v>294980</v>
      </c>
      <c r="N348" s="466">
        <f t="shared" ca="1" si="159"/>
        <v>156670.01999999999</v>
      </c>
      <c r="O348" s="466">
        <f t="shared" ca="1" si="156"/>
        <v>26.556491228070172</v>
      </c>
      <c r="P348" s="466">
        <f t="shared" ca="1" si="157"/>
        <v>53.11208217506271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IFERROR(__xludf.DUMMYFUNCTION("IMPORTRANGE(""https://docs.google.com/spreadsheets/d/1MeEWN-I1oV_STSDYn1IFDPWt_1FKiwhDph83XaGc0o0/edit?usp=sharing"",""งบพรบ!EW26"")"),589950)</f>
        <v>589950</v>
      </c>
      <c r="M350" s="93">
        <f ca="1">IFERROR(__xludf.DUMMYFUNCTION("IMPORTRANGE(""https://docs.google.com/spreadsheets/d/1MeEWN-I1oV_STSDYn1IFDPWt_1FKiwhDph83XaGc0o0/edit?usp=sharing"",""งบพรบ!FB26"")"),294980)</f>
        <v>294980</v>
      </c>
      <c r="N350" s="93">
        <f ca="1">IFERROR(__xludf.DUMMYFUNCTION("IMPORTRANGE(""https://docs.google.com/spreadsheets/d/1MeEWN-I1oV_STSDYn1IFDPWt_1FKiwhDph83XaGc0o0/edit?usp=sharing"",""งบพรบ!FD26"")"),156670.02)</f>
        <v>156670.01999999999</v>
      </c>
      <c r="O350" s="93">
        <f t="shared" ca="1" si="156"/>
        <v>26.556491228070172</v>
      </c>
      <c r="P350" s="93">
        <f t="shared" ca="1" si="157"/>
        <v>53.11208217506271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15000</v>
      </c>
      <c r="M351" s="466">
        <f t="shared" ca="1" si="160"/>
        <v>15000</v>
      </c>
      <c r="N351" s="466">
        <f t="shared" ca="1" si="160"/>
        <v>15000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IFERROR(__xludf.DUMMYFUNCTION("IMPORTRANGE(""https://docs.google.com/spreadsheets/d/1MeEWN-I1oV_STSDYn1IFDPWt_1FKiwhDph83XaGc0o0/edit?usp=sharing"",""งบพรบ!EZ26"")"),15000)</f>
        <v>15000</v>
      </c>
      <c r="M353" s="93">
        <f ca="1">IFERROR(__xludf.DUMMYFUNCTION("IMPORTRANGE(""https://docs.google.com/spreadsheets/d/1MeEWN-I1oV_STSDYn1IFDPWt_1FKiwhDph83XaGc0o0/edit?usp=sharing"",""งบพรบ!FC26"")"),15000)</f>
        <v>15000</v>
      </c>
      <c r="N353" s="93">
        <f ca="1">IFERROR(__xludf.DUMMYFUNCTION("IMPORTRANGE(""https://docs.google.com/spreadsheets/d/1MeEWN-I1oV_STSDYn1IFDPWt_1FKiwhDph83XaGc0o0/edit?usp=sharing"",""งบพรบ!FE26"")"),15000)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IFERROR(__xludf.DUMMYFUNCTION("IMPORTRANGE(""https://docs.google.com/spreadsheets/d/1QqKyyYR6Q21VydFLVH3TRQUabQu_ym0Zz7PgGX0-kHA/edit?usp=sharing"",""แผน!EP26"")"),70)</f>
        <v>70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IFERROR(__xludf.DUMMYFUNCTION("IMPORTRANGE(""https://docs.google.com/spreadsheets/d/1XWAQStnk-4SwqDmLtmXYiTMKHgktTP8We1SCoS47DrQ/edit?usp=sharing"",""จัดที่ดิน!W26"")"),59)</f>
        <v>59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IFERROR(__xludf.DUMMYFUNCTION("IMPORTRANGE(""https://docs.google.com/spreadsheets/d/1QqKyyYR6Q21VydFLVH3TRQUabQu_ym0Zz7PgGX0-kHA/edit?usp=sharing"",""แผน!EO26"")"),620)</f>
        <v>620</v>
      </c>
      <c r="J359" s="270">
        <f ca="1">IFERROR(__xludf.DUMMYFUNCTION("IMPORTRANGE(""https://docs.google.com/spreadsheets/d/1XWAQStnk-4SwqDmLtmXYiTMKHgktTP8We1SCoS47DrQ/edit?usp=sharing"",""จัดที่ดิน!X26"")"),287.41)</f>
        <v>287.41000000000003</v>
      </c>
      <c r="K359" s="466">
        <f t="shared" ca="1" si="161"/>
        <v>46.356451612903228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IFERROR(__xludf.DUMMYFUNCTION("IMPORTRANGE(""https://docs.google.com/spreadsheets/d/1QqKyyYR6Q21VydFLVH3TRQUabQu_ym0Zz7PgGX0-kHA/edit?usp=sharing"",""แผน!EP26"")"),70)</f>
        <v>70</v>
      </c>
      <c r="J360" s="270">
        <f ca="1">IFERROR(__xludf.DUMMYFUNCTION("IMPORTRANGE(""https://docs.google.com/spreadsheets/d/1XWAQStnk-4SwqDmLtmXYiTMKHgktTP8We1SCoS47DrQ/edit?usp=sharing"",""จัดที่ดิน!Y26"")"),18)</f>
        <v>18</v>
      </c>
      <c r="K360" s="466">
        <f t="shared" ca="1" si="161"/>
        <v>25.714285714285715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IFERROR(__xludf.DUMMYFUNCTION("IMPORTRANGE(""https://docs.google.com/spreadsheets/d/1XWAQStnk-4SwqDmLtmXYiTMKHgktTP8We1SCoS47DrQ/edit?usp=sharing"",""จัดที่ดิน!Z26"")"),77.08)</f>
        <v>77.08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IFERROR(__xludf.DUMMYFUNCTION("IMPORTRANGE(""https://docs.google.com/spreadsheets/d/1QqKyyYR6Q21VydFLVH3TRQUabQu_ym0Zz7PgGX0-kHA/edit?usp=sharing"",""แผน!EP26"")"),70)</f>
        <v>70</v>
      </c>
      <c r="J362" s="270">
        <f ca="1">IFERROR(__xludf.DUMMYFUNCTION("IMPORTRANGE(""https://docs.google.com/spreadsheets/d/1XWAQStnk-4SwqDmLtmXYiTMKHgktTP8We1SCoS47DrQ/edit?usp=sharing"",""จัดที่ดิน!AA26"")"),0)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IFERROR(__xludf.DUMMYFUNCTION("IMPORTRANGE(""https://docs.google.com/spreadsheets/d/1XWAQStnk-4SwqDmLtmXYiTMKHgktTP8We1SCoS47DrQ/edit?usp=sharing"",""จัดที่ดิน!AB26"")"),0)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150</v>
      </c>
      <c r="J364" s="447">
        <f t="shared" ca="1" si="162"/>
        <v>44</v>
      </c>
      <c r="K364" s="448">
        <f t="shared" ca="1" si="161"/>
        <v>29.333333333333332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IFERROR(__xludf.DUMMYFUNCTION("IMPORTRANGE(""https://docs.google.com/spreadsheets/d/1QqKyyYR6Q21VydFLVH3TRQUabQu_ym0Zz7PgGX0-kHA/edit?usp=sharing"",""แผน!EJ26"")"),40)</f>
        <v>40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IFERROR(__xludf.DUMMYFUNCTION("IMPORTRANGE(""https://docs.google.com/spreadsheets/d/1XWAQStnk-4SwqDmLtmXYiTMKHgktTP8We1SCoS47DrQ/edit?usp=sharing"",""จัดที่ดิน!E26"")"),59)</f>
        <v>59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IFERROR(__xludf.DUMMYFUNCTION("IMPORTRANGE(""https://docs.google.com/spreadsheets/d/1QqKyyYR6Q21VydFLVH3TRQUabQu_ym0Zz7PgGX0-kHA/edit?usp=sharing"",""แผน!EI26"")"),400)</f>
        <v>400</v>
      </c>
      <c r="J369" s="270">
        <f ca="1">IFERROR(__xludf.DUMMYFUNCTION("IMPORTRANGE(""https://docs.google.com/spreadsheets/d/1XWAQStnk-4SwqDmLtmXYiTMKHgktTP8We1SCoS47DrQ/edit?usp=sharing"",""จัดที่ดิน!F26"")"),287.41)</f>
        <v>287.41000000000003</v>
      </c>
      <c r="K369" s="466">
        <f t="shared" ca="1" si="163"/>
        <v>71.852500000000006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IFERROR(__xludf.DUMMYFUNCTION("IMPORTRANGE(""https://docs.google.com/spreadsheets/d/1QqKyyYR6Q21VydFLVH3TRQUabQu_ym0Zz7PgGX0-kHA/edit?usp=sharing"",""แผน!EJ26"")"),40)</f>
        <v>40</v>
      </c>
      <c r="J370" s="270">
        <f ca="1">IFERROR(__xludf.DUMMYFUNCTION("IMPORTRANGE(""https://docs.google.com/spreadsheets/d/1XWAQStnk-4SwqDmLtmXYiTMKHgktTP8We1SCoS47DrQ/edit?usp=sharing"",""จัดที่ดิน!G26"")"),18)</f>
        <v>18</v>
      </c>
      <c r="K370" s="466">
        <f t="shared" ca="1" si="163"/>
        <v>45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IFERROR(__xludf.DUMMYFUNCTION("IMPORTRANGE(""https://docs.google.com/spreadsheets/d/1XWAQStnk-4SwqDmLtmXYiTMKHgktTP8We1SCoS47DrQ/edit?usp=sharing"",""จัดที่ดิน!H26"")"),77.08)</f>
        <v>77.08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IFERROR(__xludf.DUMMYFUNCTION("IMPORTRANGE(""https://docs.google.com/spreadsheets/d/1QqKyyYR6Q21VydFLVH3TRQUabQu_ym0Zz7PgGX0-kHA/edit?usp=sharing"",""แผน!EJ26"")"),40)</f>
        <v>40</v>
      </c>
      <c r="J372" s="270">
        <f ca="1">IFERROR(__xludf.DUMMYFUNCTION("IMPORTRANGE(""https://docs.google.com/spreadsheets/d/1XWAQStnk-4SwqDmLtmXYiTMKHgktTP8We1SCoS47DrQ/edit?usp=sharing"",""จัดที่ดิน!I26"")"),0)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IFERROR(__xludf.DUMMYFUNCTION("IMPORTRANGE(""https://docs.google.com/spreadsheets/d/1XWAQStnk-4SwqDmLtmXYiTMKHgktTP8We1SCoS47DrQ/edit?usp=sharing"",""จัดที่ดิน!J26"")"),0)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IFERROR(__xludf.DUMMYFUNCTION("IMPORTRANGE(""https://docs.google.com/spreadsheets/d/1QqKyyYR6Q21VydFLVH3TRQUabQu_ym0Zz7PgGX0-kHA/edit?usp=sharing"",""แผน!EU26"")"),110)</f>
        <v>110</v>
      </c>
      <c r="J374" s="459">
        <f ca="1">J381</f>
        <v>44</v>
      </c>
      <c r="K374" s="460">
        <f t="shared" ca="1" si="163"/>
        <v>40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IFERROR(__xludf.DUMMYFUNCTION("IMPORTRANGE(""https://docs.google.com/spreadsheets/d/1XWAQStnk-4SwqDmLtmXYiTMKHgktTP8We1SCoS47DrQ/edit?usp=sharing"",""จัดที่ดิน!AH26"")"),0)</f>
        <v>0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IFERROR(__xludf.DUMMYFUNCTION("IMPORTRANGE(""https://docs.google.com/spreadsheets/d/1QqKyyYR6Q21VydFLVH3TRQUabQu_ym0Zz7PgGX0-kHA/edit?usp=sharing"",""แผน!ET26"")"),220)</f>
        <v>220</v>
      </c>
      <c r="J378" s="270">
        <f ca="1">IFERROR(__xludf.DUMMYFUNCTION("IMPORTRANGE(""https://docs.google.com/spreadsheets/d/1XWAQStnk-4SwqDmLtmXYiTMKHgktTP8We1SCoS47DrQ/edit?usp=sharing"",""จัดที่ดิน!AI26"")"),0)</f>
        <v>0</v>
      </c>
      <c r="K378" s="46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IFERROR(__xludf.DUMMYFUNCTION("IMPORTRANGE(""https://docs.google.com/spreadsheets/d/1QqKyyYR6Q21VydFLVH3TRQUabQu_ym0Zz7PgGX0-kHA/edit?usp=sharing"",""แผน!EU26"")"),110)</f>
        <v>110</v>
      </c>
      <c r="J379" s="270">
        <f ca="1">IFERROR(__xludf.DUMMYFUNCTION("IMPORTRANGE(""https://docs.google.com/spreadsheets/d/1XWAQStnk-4SwqDmLtmXYiTMKHgktTP8We1SCoS47DrQ/edit?usp=sharing"",""จัดที่ดิน!AJ26"")"),44)</f>
        <v>44</v>
      </c>
      <c r="K379" s="466">
        <f t="shared" ca="1" si="164"/>
        <v>40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IFERROR(__xludf.DUMMYFUNCTION("IMPORTRANGE(""https://docs.google.com/spreadsheets/d/1XWAQStnk-4SwqDmLtmXYiTMKHgktTP8We1SCoS47DrQ/edit?usp=sharing"",""จัดที่ดิน!AK26"")"),299.31)</f>
        <v>299.31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IFERROR(__xludf.DUMMYFUNCTION("IMPORTRANGE(""https://docs.google.com/spreadsheets/d/1QqKyyYR6Q21VydFLVH3TRQUabQu_ym0Zz7PgGX0-kHA/edit?usp=sharing"",""แผน!EU26"")"),110)</f>
        <v>110</v>
      </c>
      <c r="J381" s="270">
        <f ca="1">IFERROR(__xludf.DUMMYFUNCTION("IMPORTRANGE(""https://docs.google.com/spreadsheets/d/1XWAQStnk-4SwqDmLtmXYiTMKHgktTP8We1SCoS47DrQ/edit?usp=sharing"",""จัดที่ดิน!AL26"")"),44)</f>
        <v>44</v>
      </c>
      <c r="K381" s="466">
        <f t="shared" ca="1" si="164"/>
        <v>40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IFERROR(__xludf.DUMMYFUNCTION("IMPORTRANGE(""https://docs.google.com/spreadsheets/d/1XWAQStnk-4SwqDmLtmXYiTMKHgktTP8We1SCoS47DrQ/edit?usp=sharing"",""จัดที่ดิน!AM26"")"),299.31)</f>
        <v>299.31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IFERROR(__xludf.DUMMYFUNCTION("IMPORTRANGE(""https://docs.google.com/spreadsheets/d/1QqKyyYR6Q21VydFLVH3TRQUabQu_ym0Zz7PgGX0-kHA/edit?usp=sharing"",""แผน!EW26"")"),0)</f>
        <v>0</v>
      </c>
      <c r="J385" s="469">
        <f ca="1">IFERROR(__xludf.DUMMYFUNCTION("IMPORTRANGE(""https://docs.google.com/spreadsheets/d/1XWAQStnk-4SwqDmLtmXYiTMKHgktTP8We1SCoS47DrQ/edit?usp=sharing"",""จัดที่ดิน!AP26"")"),0)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IFERROR(__xludf.DUMMYFUNCTION("IMPORTRANGE(""https://docs.google.com/spreadsheets/d/1MeEWN-I1oV_STSDYn1IFDPWt_1FKiwhDph83XaGc0o0/edit?usp=sharing"",""งบพรบ!FG26"")"),0)</f>
        <v>0</v>
      </c>
      <c r="M394" s="93">
        <f ca="1">IFERROR(__xludf.DUMMYFUNCTION("IMPORTRANGE(""https://docs.google.com/spreadsheets/d/1MeEWN-I1oV_STSDYn1IFDPWt_1FKiwhDph83XaGc0o0/edit?usp=sharing"",""งบพรบ!FL26"")"),0)</f>
        <v>0</v>
      </c>
      <c r="N394" s="93">
        <f ca="1">IFERROR(__xludf.DUMMYFUNCTION("IMPORTRANGE(""https://docs.google.com/spreadsheets/d/1MeEWN-I1oV_STSDYn1IFDPWt_1FKiwhDph83XaGc0o0/edit?usp=sharing"",""งบพรบ!FN26"")"),0)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IFERROR(__xludf.DUMMYFUNCTION("IMPORTRANGE(""https://docs.google.com/spreadsheets/d/1MeEWN-I1oV_STSDYn1IFDPWt_1FKiwhDph83XaGc0o0/edit?usp=sharing"",""งบพรบ!FJ26"")"),0)</f>
        <v>0</v>
      </c>
      <c r="M397" s="93">
        <f ca="1">IFERROR(__xludf.DUMMYFUNCTION("IMPORTRANGE(""https://docs.google.com/spreadsheets/d/1MeEWN-I1oV_STSDYn1IFDPWt_1FKiwhDph83XaGc0o0/edit?usp=sharing"",""งบพรบ!FM26"")"),0)</f>
        <v>0</v>
      </c>
      <c r="N397" s="93">
        <f ca="1">IFERROR(__xludf.DUMMYFUNCTION("IMPORTRANGE(""https://docs.google.com/spreadsheets/d/1MeEWN-I1oV_STSDYn1IFDPWt_1FKiwhDph83XaGc0o0/edit?usp=sharing"",""งบพรบ!FO26"")"),0)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IFERROR(__xludf.DUMMYFUNCTION("IMPORTRANGE(""https://docs.google.com/spreadsheets/d/1MeEWN-I1oV_STSDYn1IFDPWt_1FKiwhDph83XaGc0o0/edit?usp=sharing"",""งบพรบ!FQ26"")"),0)</f>
        <v>0</v>
      </c>
      <c r="M407" s="93">
        <f ca="1">IFERROR(__xludf.DUMMYFUNCTION("IMPORTRANGE(""https://docs.google.com/spreadsheets/d/1MeEWN-I1oV_STSDYn1IFDPWt_1FKiwhDph83XaGc0o0/edit?usp=sharing"",""งบพรบ!FV26"")"),0)</f>
        <v>0</v>
      </c>
      <c r="N407" s="93">
        <f ca="1">IFERROR(__xludf.DUMMYFUNCTION("IMPORTRANGE(""https://docs.google.com/spreadsheets/d/1MeEWN-I1oV_STSDYn1IFDPWt_1FKiwhDph83XaGc0o0/edit?usp=sharing"",""งบพรบ!FX26"")"),0)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IFERROR(__xludf.DUMMYFUNCTION("IMPORTRANGE(""https://docs.google.com/spreadsheets/d/1MeEWN-I1oV_STSDYn1IFDPWt_1FKiwhDph83XaGc0o0/edit?usp=sharing"",""งบพรบ!FT26"")"),0)</f>
        <v>0</v>
      </c>
      <c r="M410" s="93">
        <f ca="1">IFERROR(__xludf.DUMMYFUNCTION("IMPORTRANGE(""https://docs.google.com/spreadsheets/d/1MeEWN-I1oV_STSDYn1IFDPWt_1FKiwhDph83XaGc0o0/edit?usp=sharing"",""งบพรบ!FW26"")"),0)</f>
        <v>0</v>
      </c>
      <c r="N410" s="93">
        <f ca="1">IFERROR(__xludf.DUMMYFUNCTION("IMPORTRANGE(""https://docs.google.com/spreadsheets/d/1MeEWN-I1oV_STSDYn1IFDPWt_1FKiwhDph83XaGc0o0/edit?usp=sharing"",""งบพรบ!FY26"")"),0)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2395514</v>
      </c>
      <c r="M414" s="517">
        <f t="shared" si="181"/>
        <v>0</v>
      </c>
      <c r="N414" s="517">
        <f t="shared" si="181"/>
        <v>292876.83999999997</v>
      </c>
      <c r="O414" s="517">
        <f ca="1">IF(L414&gt;0,N414*100/L414,0)</f>
        <v>12.226054199641496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212900</v>
      </c>
      <c r="M419" s="155">
        <f t="shared" si="184"/>
        <v>0</v>
      </c>
      <c r="N419" s="155">
        <f t="shared" si="184"/>
        <v>26900</v>
      </c>
      <c r="O419" s="155">
        <f t="shared" ref="O419:O424" ca="1" si="185">IF(L419&gt;0,N419*100/L419,0)</f>
        <v>12.635039924847346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212900</v>
      </c>
      <c r="M421" s="93">
        <f t="shared" si="187"/>
        <v>0</v>
      </c>
      <c r="N421" s="93">
        <f t="shared" si="187"/>
        <v>26900</v>
      </c>
      <c r="O421" s="93">
        <f t="shared" ca="1" si="185"/>
        <v>12.635039924847346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212900</v>
      </c>
      <c r="M422" s="466">
        <f t="shared" si="188"/>
        <v>0</v>
      </c>
      <c r="N422" s="466">
        <f t="shared" si="188"/>
        <v>26900</v>
      </c>
      <c r="O422" s="466">
        <f t="shared" ca="1" si="185"/>
        <v>12.635039924847346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IFERROR(__xludf.DUMMYFUNCTION("IMPORTRANGE(""https://docs.google.com/spreadsheets/d/1QqKyyYR6Q21VydFLVH3TRQUabQu_ym0Zz7PgGX0-kHA/edit?usp=sharing"",""แผน!EY26"")"),212900)</f>
        <v>212900</v>
      </c>
      <c r="M424" s="93">
        <v>0</v>
      </c>
      <c r="N424" s="93">
        <f>N425+N426+N427+N428</f>
        <v>26900</v>
      </c>
      <c r="O424" s="93">
        <f t="shared" ca="1" si="185"/>
        <v>12.635039924847346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26900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60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2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IFERROR(__xludf.DUMMYFUNCTION("IMPORTRANGE(""https://docs.google.com/spreadsheets/d/1QqKyyYR6Q21VydFLVH3TRQUabQu_ym0Zz7PgGX0-kHA/edit?usp=sharing"",""แผน!FC26"")"),60)</f>
        <v>60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IFERROR(__xludf.DUMMYFUNCTION("IMPORTRANGE(""https://docs.google.com/spreadsheets/d/1QqKyyYR6Q21VydFLVH3TRQUabQu_ym0Zz7PgGX0-kHA/edit?usp=sharing"",""แผน!FD26"")"),40)</f>
        <v>40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IFERROR(__xludf.DUMMYFUNCTION("IMPORTRANGE(""https://docs.google.com/spreadsheets/d/1QqKyyYR6Q21VydFLVH3TRQUabQu_ym0Zz7PgGX0-kHA/edit?usp=sharing"",""แผน!FE26"")"),1)</f>
        <v>1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IFERROR(__xludf.DUMMYFUNCTION("IMPORTRANGE(""https://docs.google.com/spreadsheets/d/1QqKyyYR6Q21VydFLVH3TRQUabQu_ym0Zz7PgGX0-kHA/edit?usp=sharing"",""แผน!FF26"")"),20)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IFERROR(__xludf.DUMMYFUNCTION("IMPORTRANGE(""https://docs.google.com/spreadsheets/d/1QqKyyYR6Q21VydFLVH3TRQUabQu_ym0Zz7PgGX0-kHA/edit?usp=sharing"",""แผน!FG26"")"),1)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20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70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128460</v>
      </c>
      <c r="M444" s="195">
        <f t="shared" si="197"/>
        <v>0</v>
      </c>
      <c r="N444" s="195">
        <f t="shared" si="197"/>
        <v>1240</v>
      </c>
      <c r="O444" s="195">
        <f t="shared" ref="O444:O449" ca="1" si="198">IF(L444&gt;0,N444*100/L444,0)</f>
        <v>0.96528102132959681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128460</v>
      </c>
      <c r="M446" s="93">
        <f t="shared" si="200"/>
        <v>0</v>
      </c>
      <c r="N446" s="93">
        <f t="shared" si="200"/>
        <v>1240</v>
      </c>
      <c r="O446" s="93">
        <f t="shared" ca="1" si="198"/>
        <v>0.96528102132959681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128460</v>
      </c>
      <c r="M447" s="466">
        <f t="shared" si="201"/>
        <v>0</v>
      </c>
      <c r="N447" s="466">
        <f t="shared" si="201"/>
        <v>1240</v>
      </c>
      <c r="O447" s="466">
        <f t="shared" ca="1" si="198"/>
        <v>0.96528102132959681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IFERROR(__xludf.DUMMYFUNCTION("IMPORTRANGE(""https://docs.google.com/spreadsheets/d/1QqKyyYR6Q21VydFLVH3TRQUabQu_ym0Zz7PgGX0-kHA/edit?usp=sharing"",""แผน!FJ26"")"),128460)</f>
        <v>128460</v>
      </c>
      <c r="M449" s="93">
        <v>0</v>
      </c>
      <c r="N449" s="93">
        <f>N450+N451+N452+N453</f>
        <v>1240</v>
      </c>
      <c r="O449" s="93">
        <f t="shared" ca="1" si="198"/>
        <v>0.96528102132959681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1240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IFERROR(__xludf.DUMMYFUNCTION("IMPORTRANGE(""https://docs.google.com/spreadsheets/d/1QqKyyYR6Q21VydFLVH3TRQUabQu_ym0Zz7PgGX0-kHA/edit?usp=sharing"",""แผน!FN26"")"),20)</f>
        <v>20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IFERROR(__xludf.DUMMYFUNCTION("IMPORTRANGE(""https://docs.google.com/spreadsheets/d/1QqKyyYR6Q21VydFLVH3TRQUabQu_ym0Zz7PgGX0-kHA/edit?usp=sharing"",""แผน!FO26"")"),70)</f>
        <v>70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IFERROR(__xludf.DUMMYFUNCTION("IMPORTRANGE(""https://docs.google.com/spreadsheets/d/1QqKyyYR6Q21VydFLVH3TRQUabQu_ym0Zz7PgGX0-kHA/edit?usp=sharing"",""แผน!FO26"")"),70)</f>
        <v>70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IFERROR(__xludf.DUMMYFUNCTION("IMPORTRANGE(""https://docs.google.com/spreadsheets/d/1QqKyyYR6Q21VydFLVH3TRQUabQu_ym0Zz7PgGX0-kHA/edit?usp=sharing"",""แผน!FN26"")"),20)</f>
        <v>20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IFERROR(__xludf.DUMMYFUNCTION("IMPORTRANGE(""https://docs.google.com/spreadsheets/d/1QqKyyYR6Q21VydFLVH3TRQUabQu_ym0Zz7PgGX0-kHA/edit?usp=sharing"",""แผน!FX26"")"),131)</f>
        <v>131</v>
      </c>
      <c r="J465" s="555">
        <f>J485+J489+J492</f>
        <v>118</v>
      </c>
      <c r="K465" s="556">
        <f t="shared" ref="K465:K466" ca="1" si="205">IF(I465&gt;0,J465*100/I465,0)</f>
        <v>90.07633587786259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IFERROR(__xludf.DUMMYFUNCTION("IMPORTRANGE(""https://docs.google.com/spreadsheets/d/1QqKyyYR6Q21VydFLVH3TRQUabQu_ym0Zz7PgGX0-kHA/edit?usp=sharing"",""แผน!FW26"")"),1300)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1171028</v>
      </c>
      <c r="M467" s="195">
        <f t="shared" si="206"/>
        <v>0</v>
      </c>
      <c r="N467" s="195">
        <f t="shared" si="206"/>
        <v>117989.67</v>
      </c>
      <c r="O467" s="195">
        <f t="shared" ref="O467:O472" ca="1" si="207">IF(L467&gt;0,N467*100/L467,0)</f>
        <v>10.07573431207452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1171028</v>
      </c>
      <c r="M469" s="93">
        <f t="shared" si="209"/>
        <v>0</v>
      </c>
      <c r="N469" s="93">
        <f t="shared" si="209"/>
        <v>117989.67</v>
      </c>
      <c r="O469" s="93">
        <f t="shared" ca="1" si="207"/>
        <v>10.07573431207452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1171028</v>
      </c>
      <c r="M470" s="466">
        <f t="shared" si="210"/>
        <v>0</v>
      </c>
      <c r="N470" s="466">
        <f t="shared" si="210"/>
        <v>117989.67</v>
      </c>
      <c r="O470" s="466">
        <f t="shared" ca="1" si="207"/>
        <v>10.07573431207452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IFERROR(__xludf.DUMMYFUNCTION("IMPORTRANGE(""https://docs.google.com/spreadsheets/d/1QqKyyYR6Q21VydFLVH3TRQUabQu_ym0Zz7PgGX0-kHA/edit?usp=sharing"",""แผน!FS26"")"),1171028)</f>
        <v>1171028</v>
      </c>
      <c r="M472" s="93">
        <v>0</v>
      </c>
      <c r="N472" s="93">
        <f>N473+N474+N475+N476</f>
        <v>117989.67</v>
      </c>
      <c r="O472" s="93">
        <f t="shared" ca="1" si="207"/>
        <v>10.07573431207452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65104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4000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25566.67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23319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IFERROR(__xludf.DUMMYFUNCTION("IMPORTRANGE(""https://docs.google.com/spreadsheets/d/1QqKyyYR6Q21VydFLVH3TRQUabQu_ym0Zz7PgGX0-kHA/edit?usp=sharing"",""แผน!GA26"")"),130)</f>
        <v>130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IFERROR(__xludf.DUMMYFUNCTION("IMPORTRANGE(""https://docs.google.com/spreadsheets/d/1QqKyyYR6Q21VydFLVH3TRQUabQu_ym0Zz7PgGX0-kHA/edit?usp=sharing"",""แผน!GB26"")"),13)</f>
        <v>13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917"/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IFERROR(__xludf.DUMMYFUNCTION("IMPORTRANGE(""https://docs.google.com/spreadsheets/d/1QqKyyYR6Q21VydFLVH3TRQUabQu_ym0Zz7PgGX0-kHA/edit?usp=sharing"",""แผน!GU26"")"),0)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24651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483401</v>
      </c>
      <c r="M544" s="155">
        <f t="shared" si="236"/>
        <v>0</v>
      </c>
      <c r="N544" s="155">
        <f t="shared" si="236"/>
        <v>75990</v>
      </c>
      <c r="O544" s="155">
        <f t="shared" ref="O544:O549" ca="1" si="237">IF(L544&gt;0,N544*100/L544,0)</f>
        <v>15.719868183971485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483401</v>
      </c>
      <c r="M546" s="93">
        <f t="shared" si="240"/>
        <v>0</v>
      </c>
      <c r="N546" s="93">
        <f t="shared" si="240"/>
        <v>75990</v>
      </c>
      <c r="O546" s="93">
        <f t="shared" ca="1" si="237"/>
        <v>15.719868183971485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483401</v>
      </c>
      <c r="M547" s="466">
        <f t="shared" si="241"/>
        <v>0</v>
      </c>
      <c r="N547" s="466">
        <f t="shared" si="241"/>
        <v>75990</v>
      </c>
      <c r="O547" s="466">
        <f t="shared" ca="1" si="237"/>
        <v>15.719868183971485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IFERROR(__xludf.DUMMYFUNCTION("IMPORTRANGE(""https://docs.google.com/spreadsheets/d/1QqKyyYR6Q21VydFLVH3TRQUabQu_ym0Zz7PgGX0-kHA/edit?usp=sharing"",""แผน!HB26"")"),483401)</f>
        <v>483401</v>
      </c>
      <c r="M549" s="93">
        <v>0</v>
      </c>
      <c r="N549" s="93">
        <f>N550+N551+N552+N553+N554</f>
        <v>75990</v>
      </c>
      <c r="O549" s="93">
        <f t="shared" ca="1" si="237"/>
        <v>15.719868183971485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26000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49990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24651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IFERROR(__xludf.DUMMYFUNCTION("IMPORTRANGE(""https://docs.google.com/spreadsheets/d/1QqKyyYR6Q21VydFLVH3TRQUabQu_ym0Zz7PgGX0-kHA/edit?usp=sharing"",""แผน!HH26"")"),24651)</f>
        <v>24651</v>
      </c>
      <c r="J560" s="193">
        <f t="shared" ref="J560:J561" si="247">J562+J564+J566</f>
        <v>24651</v>
      </c>
      <c r="K560" s="380">
        <f t="shared" ca="1" si="246"/>
        <v>100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IFERROR(__xludf.DUMMYFUNCTION("IMPORTRANGE(""https://docs.google.com/spreadsheets/d/1QqKyyYR6Q21VydFLVH3TRQUabQu_ym0Zz7PgGX0-kHA/edit?usp=sharing"",""แผน!HG26"")"),4817)</f>
        <v>4817</v>
      </c>
      <c r="J561" s="193">
        <f t="shared" si="247"/>
        <v>4817</v>
      </c>
      <c r="K561" s="380">
        <f t="shared" ca="1" si="246"/>
        <v>100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21886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4325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2152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379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613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113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IFERROR(__xludf.DUMMYFUNCTION("IMPORTRANGE(""https://docs.google.com/spreadsheets/d/1QqKyyYR6Q21VydFLVH3TRQUabQu_ym0Zz7PgGX0-kHA/edit?usp=sharing"",""แผน!HH26"")"),24651)</f>
        <v>24651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IFERROR(__xludf.DUMMYFUNCTION("IMPORTRANGE(""https://docs.google.com/spreadsheets/d/1QqKyyYR6Q21VydFLVH3TRQUabQu_ym0Zz7PgGX0-kHA/edit?usp=sharing"",""แผน!HG26"")"),4817)</f>
        <v>4817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IFERROR(__xludf.DUMMYFUNCTION("IMPORTRANGE(""https://docs.google.com/spreadsheets/d/1QqKyyYR6Q21VydFLVH3TRQUabQu_ym0Zz7PgGX0-kHA/edit?usp=sharing"",""แผน!HH26"")"),24651)</f>
        <v>24651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IFERROR(__xludf.DUMMYFUNCTION("IMPORTRANGE(""https://docs.google.com/spreadsheets/d/1QqKyyYR6Q21VydFLVH3TRQUabQu_ym0Zz7PgGX0-kHA/edit?usp=sharing"",""แผน!HG26"")"),4817)</f>
        <v>4817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4105</v>
      </c>
      <c r="J592" s="672">
        <f t="shared" si="253"/>
        <v>2407.4899999999998</v>
      </c>
      <c r="K592" s="643">
        <f t="shared" ref="K592:K594" ca="1" si="254">IF(I592&gt;0,J592*100/I592,0)</f>
        <v>58.647746650426299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IFERROR(__xludf.DUMMYFUNCTION("IMPORTRANGE(""https://docs.google.com/spreadsheets/d/1QqKyyYR6Q21VydFLVH3TRQUabQu_ym0Zz7PgGX0-kHA/edit?usp=sharing"",""แผน!HJ26"")"),4105)</f>
        <v>4105</v>
      </c>
      <c r="J593" s="193">
        <f t="shared" ref="J593:J594" si="255">J595+J603+J609</f>
        <v>2407.4899999999998</v>
      </c>
      <c r="K593" s="380">
        <f t="shared" ca="1" si="254"/>
        <v>58.647746650426299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IFERROR(__xludf.DUMMYFUNCTION("IMPORTRANGE(""https://docs.google.com/spreadsheets/d/1QqKyyYR6Q21VydFLVH3TRQUabQu_ym0Zz7PgGX0-kHA/edit?usp=sharing"",""แผน!HI26"")"),599)</f>
        <v>599</v>
      </c>
      <c r="J594" s="193">
        <f t="shared" si="255"/>
        <v>297</v>
      </c>
      <c r="K594" s="380">
        <f t="shared" ca="1" si="254"/>
        <v>49.582637729549248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2407.4899999999998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297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136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13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2271.4899999999998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284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IFERROR(__xludf.DUMMYFUNCTION("IMPORTRANGE(""https://docs.google.com/spreadsheets/d/1QqKyyYR6Q21VydFLVH3TRQUabQu_ym0Zz7PgGX0-kHA/edit?usp=sharing"",""แผน!HL26"")"),114)</f>
        <v>114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IFERROR(__xludf.DUMMYFUNCTION("IMPORTRANGE(""https://docs.google.com/spreadsheets/d/1QqKyyYR6Q21VydFLVH3TRQUabQu_ym0Zz7PgGX0-kHA/edit?usp=sharing"",""แผน!HK26"")"),13)</f>
        <v>13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20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187805</v>
      </c>
      <c r="M629" s="195">
        <f t="shared" si="263"/>
        <v>0</v>
      </c>
      <c r="N629" s="195">
        <f t="shared" si="263"/>
        <v>20958</v>
      </c>
      <c r="O629" s="195">
        <f t="shared" ref="O629:O634" ca="1" si="264">IF(L629&gt;0,N629*100/L629,0)</f>
        <v>11.159447299060195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187805</v>
      </c>
      <c r="M631" s="93">
        <f t="shared" si="266"/>
        <v>0</v>
      </c>
      <c r="N631" s="93">
        <f t="shared" si="266"/>
        <v>20958</v>
      </c>
      <c r="O631" s="93">
        <f t="shared" ca="1" si="264"/>
        <v>11.159447299060195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187805</v>
      </c>
      <c r="M632" s="466">
        <f t="shared" si="267"/>
        <v>0</v>
      </c>
      <c r="N632" s="466">
        <f t="shared" si="267"/>
        <v>20958</v>
      </c>
      <c r="O632" s="466">
        <f t="shared" ca="1" si="264"/>
        <v>11.159447299060195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IFERROR(__xludf.DUMMYFUNCTION("IMPORTRANGE(""https://docs.google.com/spreadsheets/d/1QqKyyYR6Q21VydFLVH3TRQUabQu_ym0Zz7PgGX0-kHA/edit?usp=sharing"",""แผน!HN26"")"),187805)</f>
        <v>187805</v>
      </c>
      <c r="M634" s="93">
        <v>0</v>
      </c>
      <c r="N634" s="93">
        <f>N635+N636+N637+N638</f>
        <v>20958</v>
      </c>
      <c r="O634" s="93">
        <f t="shared" ca="1" si="264"/>
        <v>11.159447299060195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20958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IFERROR(__xludf.DUMMYFUNCTION("IMPORTRANGE(""https://docs.google.com/spreadsheets/d/1QqKyyYR6Q21VydFLVH3TRQUabQu_ym0Zz7PgGX0-kHA/edit?usp=sharing"",""แผน!HR26"")"),0)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IFERROR(__xludf.DUMMYFUNCTION("IMPORTRANGE(""https://docs.google.com/spreadsheets/d/1XWAQStnk-4SwqDmLtmXYiTMKHgktTP8We1SCoS47DrQ/edit?usp=sharing"",""จัดที่ดิน!AS26"")"),22)</f>
        <v>22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IFERROR(__xludf.DUMMYFUNCTION("IMPORTRANGE(""https://docs.google.com/spreadsheets/d/1XWAQStnk-4SwqDmLtmXYiTMKHgktTP8We1SCoS47DrQ/edit?usp=sharing"",""จัดที่ดิน!AT26"")"),14.34)</f>
        <v>14.34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IFERROR(__xludf.DUMMYFUNCTION("IMPORTRANGE(""https://docs.google.com/spreadsheets/d/1QqKyyYR6Q21VydFLVH3TRQUabQu_ym0Zz7PgGX0-kHA/edit?usp=sharing"",""แผน!HS26"")"),20)</f>
        <v>20</v>
      </c>
      <c r="J647" s="270">
        <f ca="1">IFERROR(__xludf.DUMMYFUNCTION("IMPORTRANGE(""https://docs.google.com/spreadsheets/d/1XWAQStnk-4SwqDmLtmXYiTMKHgktTP8We1SCoS47DrQ/edit?usp=sharing"",""จัดที่ดิน!AU26"")"),0)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IFERROR(__xludf.DUMMYFUNCTION("IMPORTRANGE(""https://docs.google.com/spreadsheets/d/1XWAQStnk-4SwqDmLtmXYiTMKHgktTP8We1SCoS47DrQ/edit?usp=sharing"",""จัดที่ดิน!AV26"")"),0)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IFERROR(__xludf.DUMMYFUNCTION("IMPORTRANGE(""https://docs.google.com/spreadsheets/d/1QqKyyYR6Q21VydFLVH3TRQUabQu_ym0Zz7PgGX0-kHA/edit?usp=sharing"",""แผน!HS26"")"),20)</f>
        <v>20</v>
      </c>
      <c r="J649" s="270">
        <f ca="1">IFERROR(__xludf.DUMMYFUNCTION("IMPORTRANGE(""https://docs.google.com/spreadsheets/d/1XWAQStnk-4SwqDmLtmXYiTMKHgktTP8We1SCoS47DrQ/edit?usp=sharing"",""จัดที่ดิน!AW26"")"),0)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IFERROR(__xludf.DUMMYFUNCTION("IMPORTRANGE(""https://docs.google.com/spreadsheets/d/1XWAQStnk-4SwqDmLtmXYiTMKHgktTP8We1SCoS47DrQ/edit?usp=sharing"",""จัดที่ดิน!AX26"")"),0)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IFERROR(__xludf.DUMMYFUNCTION("IMPORTRANGE(""https://docs.google.com/spreadsheets/d/1QqKyyYR6Q21VydFLVH3TRQUabQu_ym0Zz7PgGX0-kHA/edit?usp=sharing"",""แผน!HS26"")"),20)</f>
        <v>20</v>
      </c>
      <c r="J651" s="270">
        <f ca="1">IFERROR(__xludf.DUMMYFUNCTION("IMPORTRANGE(""https://docs.google.com/spreadsheets/d/1XWAQStnk-4SwqDmLtmXYiTMKHgktTP8We1SCoS47DrQ/edit?usp=sharing"",""จัดที่ดิน!AY26"")"),0)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IFERROR(__xludf.DUMMYFUNCTION("IMPORTRANGE(""https://docs.google.com/spreadsheets/d/1XWAQStnk-4SwqDmLtmXYiTMKHgktTP8We1SCoS47DrQ/edit?usp=sharing"",""จัดที่ดิน!AZ26"")"),0)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100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14000</v>
      </c>
      <c r="M655" s="195">
        <f t="shared" si="273"/>
        <v>0</v>
      </c>
      <c r="N655" s="195">
        <f t="shared" si="273"/>
        <v>5780</v>
      </c>
      <c r="O655" s="195">
        <f t="shared" ref="O655:O660" ca="1" si="274">IF(L655&gt;0,N655*100/L655,0)</f>
        <v>41.285714285714285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14000</v>
      </c>
      <c r="M657" s="93">
        <f t="shared" si="276"/>
        <v>0</v>
      </c>
      <c r="N657" s="93">
        <f t="shared" si="276"/>
        <v>5780</v>
      </c>
      <c r="O657" s="93">
        <f t="shared" ca="1" si="274"/>
        <v>41.285714285714285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14000</v>
      </c>
      <c r="M658" s="466">
        <f t="shared" si="277"/>
        <v>0</v>
      </c>
      <c r="N658" s="466">
        <f t="shared" si="277"/>
        <v>5780</v>
      </c>
      <c r="O658" s="466">
        <f t="shared" ca="1" si="274"/>
        <v>41.285714285714285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IFERROR(__xludf.DUMMYFUNCTION("IMPORTRANGE(""https://docs.google.com/spreadsheets/d/1QqKyyYR6Q21VydFLVH3TRQUabQu_ym0Zz7PgGX0-kHA/edit?usp=sharing"",""แผน!HV26"")"),14000)</f>
        <v>14000</v>
      </c>
      <c r="M660" s="93">
        <v>0</v>
      </c>
      <c r="N660" s="93">
        <f>N661+N662+N663+N664</f>
        <v>5780</v>
      </c>
      <c r="O660" s="93">
        <f t="shared" ca="1" si="274"/>
        <v>41.285714285714285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5780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IFERROR(__xludf.DUMMYFUNCTION("IMPORTRANGE(""https://docs.google.com/spreadsheets/d/1QqKyyYR6Q21VydFLVH3TRQUabQu_ym0Zz7PgGX0-kHA/edit?usp=sharing"",""แผน!IA26"")"),100)</f>
        <v>100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IFERROR(__xludf.DUMMYFUNCTION("IMPORTRANGE(""https://docs.google.com/spreadsheets/d/1QqKyyYR6Q21VydFLVH3TRQUabQu_ym0Zz7PgGX0-kHA/edit?usp=sharing"",""แผน!HZ26"")"),5)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IFERROR(__xludf.DUMMYFUNCTION("IMPORTRANGE(""https://docs.google.com/spreadsheets/d/1QqKyyYR6Q21VydFLVH3TRQUabQu_ym0Zz7PgGX0-kHA/edit?usp=sharing"",""แผน!HZ26"")"),5)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IFERROR(__xludf.DUMMYFUNCTION("IMPORTRANGE(""https://docs.google.com/spreadsheets/d/1QqKyyYR6Q21VydFLVH3TRQUabQu_ym0Zz7PgGX0-kHA/edit?usp=sharing"",""แผน!IB26"")"),0)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IFERROR(__xludf.DUMMYFUNCTION("IMPORTRANGE(""https://docs.google.com/spreadsheets/d/1QqKyyYR6Q21VydFLVH3TRQUabQu_ym0Zz7PgGX0-kHA/edit?usp=sharing"",""แผน!IC26"")"),0)</f>
        <v>0</v>
      </c>
      <c r="J699" s="270">
        <f ca="1">IFERROR(__xludf.DUMMYFUNCTION("IMPORTRANGE(""https://docs.google.com/spreadsheets/d/1XWAQStnk-4SwqDmLtmXYiTMKHgktTP8We1SCoS47DrQ/edit?usp=sharing"",""จัดที่ดิน!BB26"")"),0)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IFERROR(__xludf.DUMMYFUNCTION("IMPORTRANGE(""https://docs.google.com/spreadsheets/d/1QqKyyYR6Q21VydFLVH3TRQUabQu_ym0Zz7PgGX0-kHA/edit?usp=sharing"",""แผน!ID26"")"),0)</f>
        <v>0</v>
      </c>
      <c r="J700" s="270">
        <f ca="1">IFERROR(__xludf.DUMMYFUNCTION("IMPORTRANGE(""https://docs.google.com/spreadsheets/d/1XWAQStnk-4SwqDmLtmXYiTMKHgktTP8We1SCoS47DrQ/edit?usp=sharing"",""จัดที่ดิน!BD26"")"),0)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IFERROR(__xludf.DUMMYFUNCTION("IMPORTRANGE(""https://docs.google.com/spreadsheets/d/1QqKyyYR6Q21VydFLVH3TRQUabQu_ym0Zz7PgGX0-kHA/edit?usp=sharing"",""แผน!IE26"")"),0)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IFERROR(__xludf.DUMMYFUNCTION("IMPORTRANGE(""https://docs.google.com/spreadsheets/d/1QqKyyYR6Q21VydFLVH3TRQUabQu_ym0Zz7PgGX0-kHA/edit?usp=sharing"",""แผน!IF26"")"),0)</f>
        <v>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IFERROR(__xludf.DUMMYFUNCTION("IMPORTRANGE(""https://docs.google.com/spreadsheets/d/1QqKyyYR6Q21VydFLVH3TRQUabQu_ym0Zz7PgGX0-kHA/edit?usp=sharing"",""แผน!IG26"")"),0)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IFERROR(__xludf.DUMMYFUNCTION("IMPORTRANGE(""https://docs.google.com/spreadsheets/d/1QqKyyYR6Q21VydFLVH3TRQUabQu_ym0Zz7PgGX0-kHA/edit?usp=sharing"",""แผน!IH26"")"),0)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IFERROR(__xludf.DUMMYFUNCTION("IMPORTRANGE(""https://docs.google.com/spreadsheets/d/1XWAQStnk-4SwqDmLtmXYiTMKHgktTP8We1SCoS47DrQ/edit?usp=sharing"",""จัดที่ดิน!BF26"")"),0)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IFERROR(__xludf.DUMMYFUNCTION("IMPORTRANGE(""https://docs.google.com/spreadsheets/d/1XWAQStnk-4SwqDmLtmXYiTMKHgktTP8We1SCoS47DrQ/edit?usp=sharing"",""จัดที่ดิน!BG26"")"),0)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IFERROR(__xludf.DUMMYFUNCTION("IMPORTRANGE(""https://docs.google.com/spreadsheets/d/1QqKyyYR6Q21VydFLVH3TRQUabQu_ym0Zz7PgGX0-kHA/edit?usp=sharing"",""แผน!II26"")"),0)</f>
        <v>0</v>
      </c>
      <c r="J720" s="270">
        <f ca="1">IFERROR(__xludf.DUMMYFUNCTION("IMPORTRANGE(""https://docs.google.com/spreadsheets/d/1XWAQStnk-4SwqDmLtmXYiTMKHgktTP8We1SCoS47DrQ/edit?usp=sharing"",""จัดที่ดิน!BH26"")"),0)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IFERROR(__xludf.DUMMYFUNCTION("IMPORTRANGE(""https://docs.google.com/spreadsheets/d/1QqKyyYR6Q21VydFLVH3TRQUabQu_ym0Zz7PgGX0-kHA/edit?usp=sharing"",""แผน!IJ26"")"),0)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IFERROR(__xludf.DUMMYFUNCTION("IMPORTRANGE(""https://docs.google.com/spreadsheets/d/1QqKyyYR6Q21VydFLVH3TRQUabQu_ym0Zz7PgGX0-kHA/edit?usp=sharing"",""แผน!IK26"")"),0)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IFERROR(__xludf.DUMMYFUNCTION("IMPORTRANGE(""https://docs.google.com/spreadsheets/d/1QqKyyYR6Q21VydFLVH3TRQUabQu_ym0Zz7PgGX0-kHA/edit?usp=sharing"",""แผน!IL26"")"),0)</f>
        <v>0</v>
      </c>
      <c r="J723" s="270">
        <f ca="1">IFERROR(__xludf.DUMMYFUNCTION("IMPORTRANGE(""https://docs.google.com/spreadsheets/d/1XWAQStnk-4SwqDmLtmXYiTMKHgktTP8We1SCoS47DrQ/edit?usp=sharing"",""จัดที่ดิน!BM26"")"),0)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IFERROR(__xludf.DUMMYFUNCTION("IMPORTRANGE(""https://docs.google.com/spreadsheets/d/1XWAQStnk-4SwqDmLtmXYiTMKHgktTP8We1SCoS47DrQ/edit?usp=sharing"",""จัดที่ดิน!BN26"")"),0)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IFERROR(__xludf.DUMMYFUNCTION("IMPORTRANGE(""https://docs.google.com/spreadsheets/d/1QqKyyYR6Q21VydFLVH3TRQUabQu_ym0Zz7PgGX0-kHA/edit?usp=sharing"",""แผน!IM26"")"),0)</f>
        <v>0</v>
      </c>
      <c r="J725" s="270">
        <f ca="1">IFERROR(__xludf.DUMMYFUNCTION("IMPORTRANGE(""https://docs.google.com/spreadsheets/d/1XWAQStnk-4SwqDmLtmXYiTMKHgktTP8We1SCoS47DrQ/edit?usp=sharing"",""จัดที่ดิน!BO26"")"),0)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IFERROR(__xludf.DUMMYFUNCTION("IMPORTRANGE(""https://docs.google.com/spreadsheets/d/1QqKyyYR6Q21VydFLVH3TRQUabQu_ym0Zz7PgGX0-kHA/edit?usp=sharing"",""แผน!IN26"")"),0)</f>
        <v>0</v>
      </c>
      <c r="J726" s="270">
        <f ca="1">IFERROR(__xludf.DUMMYFUNCTION("IMPORTRANGE(""https://docs.google.com/spreadsheets/d/1XWAQStnk-4SwqDmLtmXYiTMKHgktTP8We1SCoS47DrQ/edit?usp=sharing"",""จัดที่ดิน!BR26"")"),0)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IFERROR(__xludf.DUMMYFUNCTION("IMPORTRANGE(""https://docs.google.com/spreadsheets/d/1XWAQStnk-4SwqDmLtmXYiTMKHgktTP8We1SCoS47DrQ/edit?usp=sharing"",""จัดที่ดิน!BS26"")"),0)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IFERROR(__xludf.DUMMYFUNCTION("IMPORTRANGE(""https://docs.google.com/spreadsheets/d/1QqKyyYR6Q21VydFLVH3TRQUabQu_ym0Zz7PgGX0-kHA/edit?usp=sharing"",""แผน!IO26"")"),0)</f>
        <v>0</v>
      </c>
      <c r="J728" s="270">
        <f ca="1">IFERROR(__xludf.DUMMYFUNCTION("IMPORTRANGE(""https://docs.google.com/spreadsheets/d/1XWAQStnk-4SwqDmLtmXYiTMKHgktTP8We1SCoS47DrQ/edit?usp=sharing"",""จัดที่ดิน!BT26"")"),0)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IFERROR(__xludf.DUMMYFUNCTION("IMPORTRANGE(""https://docs.google.com/spreadsheets/d/1QqKyyYR6Q21VydFLVH3TRQUabQu_ym0Zz7PgGX0-kHA/edit?usp=sharing"",""แผน!IP26"")"),0)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892" t="s">
        <v>46</v>
      </c>
      <c r="I785" s="893">
        <f t="shared" ref="I785:J785" ca="1" si="318">I801+I803</f>
        <v>3000</v>
      </c>
      <c r="J785" s="893">
        <f t="shared" ca="1" si="318"/>
        <v>0</v>
      </c>
      <c r="K785" s="894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895" t="s">
        <v>12</v>
      </c>
      <c r="I786" s="896"/>
      <c r="J786" s="896"/>
      <c r="K786" s="897"/>
      <c r="L786" s="195">
        <f t="shared" ref="L786:N786" ca="1" si="319">L787+L788</f>
        <v>197920</v>
      </c>
      <c r="M786" s="195">
        <f t="shared" si="319"/>
        <v>0</v>
      </c>
      <c r="N786" s="195">
        <f t="shared" si="319"/>
        <v>44019.17</v>
      </c>
      <c r="O786" s="195">
        <f t="shared" ref="O786:O791" ca="1" si="320">IF(L786&gt;0,N786*100/L786,0)</f>
        <v>22.240890258690381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898" t="s">
        <v>12</v>
      </c>
      <c r="I787" s="896"/>
      <c r="J787" s="896"/>
      <c r="K787" s="89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898" t="s">
        <v>12</v>
      </c>
      <c r="I788" s="896"/>
      <c r="J788" s="896"/>
      <c r="K788" s="897"/>
      <c r="L788" s="93">
        <f t="shared" ca="1" si="322"/>
        <v>197920</v>
      </c>
      <c r="M788" s="93">
        <f t="shared" si="322"/>
        <v>0</v>
      </c>
      <c r="N788" s="93">
        <f t="shared" si="322"/>
        <v>44019.17</v>
      </c>
      <c r="O788" s="93">
        <f t="shared" ca="1" si="320"/>
        <v>22.240890258690381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27"/>
      <c r="F789" s="727"/>
      <c r="G789" s="189"/>
      <c r="H789" s="899" t="s">
        <v>12</v>
      </c>
      <c r="I789" s="900"/>
      <c r="J789" s="900"/>
      <c r="K789" s="901"/>
      <c r="L789" s="466">
        <f t="shared" ref="L789:N789" ca="1" si="323">L790+L791</f>
        <v>197920</v>
      </c>
      <c r="M789" s="466">
        <f t="shared" si="323"/>
        <v>0</v>
      </c>
      <c r="N789" s="466">
        <f t="shared" si="323"/>
        <v>44019.17</v>
      </c>
      <c r="O789" s="466">
        <f t="shared" ca="1" si="320"/>
        <v>22.240890258690381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898" t="s">
        <v>12</v>
      </c>
      <c r="I790" s="896"/>
      <c r="J790" s="896"/>
      <c r="K790" s="89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898" t="s">
        <v>12</v>
      </c>
      <c r="I791" s="896"/>
      <c r="J791" s="896"/>
      <c r="K791" s="897"/>
      <c r="L791" s="93">
        <f ca="1">IFERROR(__xludf.DUMMYFUNCTION("IMPORTRANGE(""https://docs.google.com/spreadsheets/d/1QqKyyYR6Q21VydFLVH3TRQUabQu_ym0Zz7PgGX0-kHA/edit?usp=sharing"",""แผน!JJ26"")"),197920)</f>
        <v>197920</v>
      </c>
      <c r="M791" s="93">
        <v>0</v>
      </c>
      <c r="N791" s="93">
        <f>N792+N793+N794+N795</f>
        <v>44019.17</v>
      </c>
      <c r="O791" s="93">
        <f t="shared" ca="1" si="320"/>
        <v>22.240890258690381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27"/>
      <c r="D792" s="727"/>
      <c r="E792" s="727"/>
      <c r="F792" s="727" t="s">
        <v>186</v>
      </c>
      <c r="G792" s="189"/>
      <c r="H792" s="899" t="s">
        <v>12</v>
      </c>
      <c r="I792" s="896"/>
      <c r="J792" s="896"/>
      <c r="K792" s="897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27"/>
      <c r="D793" s="727"/>
      <c r="E793" s="727"/>
      <c r="F793" s="727" t="s">
        <v>187</v>
      </c>
      <c r="G793" s="189"/>
      <c r="H793" s="899" t="s">
        <v>12</v>
      </c>
      <c r="I793" s="896"/>
      <c r="J793" s="896"/>
      <c r="K793" s="897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27"/>
      <c r="D794" s="727"/>
      <c r="E794" s="727"/>
      <c r="F794" s="727" t="s">
        <v>188</v>
      </c>
      <c r="G794" s="189"/>
      <c r="H794" s="899" t="s">
        <v>12</v>
      </c>
      <c r="I794" s="896"/>
      <c r="J794" s="896"/>
      <c r="K794" s="897"/>
      <c r="L794" s="466"/>
      <c r="M794" s="466"/>
      <c r="N794" s="798">
        <v>24266.68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27"/>
      <c r="D795" s="727"/>
      <c r="E795" s="727"/>
      <c r="F795" s="727" t="s">
        <v>189</v>
      </c>
      <c r="G795" s="189"/>
      <c r="H795" s="899" t="s">
        <v>12</v>
      </c>
      <c r="I795" s="896"/>
      <c r="J795" s="896"/>
      <c r="K795" s="897"/>
      <c r="L795" s="466"/>
      <c r="M795" s="466"/>
      <c r="N795" s="798">
        <v>19752.490000000002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27"/>
      <c r="D796" s="571" t="s">
        <v>21</v>
      </c>
      <c r="E796" s="727"/>
      <c r="F796" s="727"/>
      <c r="G796" s="189"/>
      <c r="H796" s="902" t="s">
        <v>12</v>
      </c>
      <c r="I796" s="900"/>
      <c r="J796" s="900"/>
      <c r="K796" s="901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898" t="s">
        <v>12</v>
      </c>
      <c r="I797" s="900"/>
      <c r="J797" s="900"/>
      <c r="K797" s="90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903" t="s">
        <v>12</v>
      </c>
      <c r="I798" s="900"/>
      <c r="J798" s="900"/>
      <c r="K798" s="90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904"/>
      <c r="I799" s="900"/>
      <c r="J799" s="900"/>
      <c r="K799" s="901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6"/>
      <c r="H800" s="905" t="s">
        <v>34</v>
      </c>
      <c r="I800" s="900"/>
      <c r="J800" s="906">
        <f ca="1">IFERROR(__xludf.DUMMYFUNCTION("IMPORTRANGE(""https://docs.google.com/spreadsheets/d/1MaWodYyGHDf7siQLGxnXhG4mBNTNIuy296niS2xXulU/edit?usp=sharing"",""RTK!H26"")"),0)</f>
        <v>0</v>
      </c>
      <c r="K800" s="897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6"/>
      <c r="H801" s="899" t="s">
        <v>46</v>
      </c>
      <c r="I801" s="906">
        <f ca="1">IFERROR(__xludf.DUMMYFUNCTION("IMPORTRANGE(""https://docs.google.com/spreadsheets/d/1MaWodYyGHDf7siQLGxnXhG4mBNTNIuy296niS2xXulU/edit?usp=sharing"",""RTK!G26"")"),3000)</f>
        <v>3000</v>
      </c>
      <c r="J801" s="907">
        <f ca="1">IFERROR(__xludf.DUMMYFUNCTION("IMPORTRANGE(""https://docs.google.com/spreadsheets/d/1MaWodYyGHDf7siQLGxnXhG4mBNTNIuy296niS2xXulU/edit?usp=sharing"",""RTK!I26"")"),0)</f>
        <v>0</v>
      </c>
      <c r="K801" s="908">
        <f ca="1">IF(I801&gt;0,J801*100/I801,0)</f>
        <v>0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4"/>
      <c r="F802" s="780" t="s">
        <v>321</v>
      </c>
      <c r="G802" s="582"/>
      <c r="H802" s="905" t="s">
        <v>34</v>
      </c>
      <c r="I802" s="900"/>
      <c r="J802" s="906">
        <f ca="1">IFERROR(__xludf.DUMMYFUNCTION("IMPORTRANGE(""https://docs.google.com/spreadsheets/d/1MaWodYyGHDf7siQLGxnXhG4mBNTNIuy296niS2xXulU/edit?usp=sharing"",""RTK!L26"")"),0)</f>
        <v>0</v>
      </c>
      <c r="K802" s="897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4"/>
      <c r="F803" s="684"/>
      <c r="G803" s="582"/>
      <c r="H803" s="905" t="s">
        <v>46</v>
      </c>
      <c r="I803" s="906">
        <f ca="1">IFERROR(__xludf.DUMMYFUNCTION("IMPORTRANGE(""https://docs.google.com/spreadsheets/d/1MaWodYyGHDf7siQLGxnXhG4mBNTNIuy296niS2xXulU/edit?usp=sharing"",""RTK!K26"")"),0)</f>
        <v>0</v>
      </c>
      <c r="J803" s="907">
        <f ca="1">IFERROR(__xludf.DUMMYFUNCTION("IMPORTRANGE(""https://docs.google.com/spreadsheets/d/1MaWodYyGHDf7siQLGxnXhG4mBNTNIuy296niS2xXulU/edit?usp=sharing"",""RTK!M26"")"),0)</f>
        <v>0</v>
      </c>
      <c r="K803" s="90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27"/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8">L806+L807</f>
        <v>0</v>
      </c>
      <c r="M805" s="613">
        <f t="shared" si="328"/>
        <v>0</v>
      </c>
      <c r="N805" s="613">
        <f t="shared" si="328"/>
        <v>0</v>
      </c>
      <c r="O805" s="613">
        <f t="shared" ref="O805:O810" si="329">IF(L805&gt;0,N805*100/L805,0)</f>
        <v>0</v>
      </c>
      <c r="P805" s="613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2">L809+L810</f>
        <v>0</v>
      </c>
      <c r="M808" s="613">
        <f t="shared" si="332"/>
        <v>0</v>
      </c>
      <c r="N808" s="613">
        <f t="shared" si="332"/>
        <v>0</v>
      </c>
      <c r="O808" s="613">
        <f t="shared" si="329"/>
        <v>0</v>
      </c>
      <c r="P808" s="613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3">L816+L817</f>
        <v>0</v>
      </c>
      <c r="M815" s="613">
        <f t="shared" si="333"/>
        <v>0</v>
      </c>
      <c r="N815" s="613">
        <f t="shared" si="333"/>
        <v>0</v>
      </c>
      <c r="O815" s="613">
        <f t="shared" ref="O815:O817" si="334">IF(L815&gt;0,N815*100/L815,0)</f>
        <v>0</v>
      </c>
      <c r="P815" s="613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270">
        <f ca="1">IFERROR(__xludf.DUMMYFUNCTION("IMPORTRANGE(""https://docs.google.com/spreadsheets/d/19vJNZY_5yjcGF2XGBMNZRCAIB0Kwfpjp8YEOfu-bneM/edit?usp=sharing"",""งานกองทุน!F26"")"),890241.5)</f>
        <v>890241.5</v>
      </c>
      <c r="K821" s="466">
        <f t="shared" ref="K821:K828" ca="1" si="336">IF(I821&gt;0,J821*100/I821,0)</f>
        <v>12.820482319660982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IFERROR(__xludf.DUMMYFUNCTION("IMPORTRANGE(""https://docs.google.com/spreadsheets/d/19vJNZY_5yjcGF2XGBMNZRCAIB0Kwfpjp8YEOfu-bneM/edit?usp=sharing"",""งานกองทุน!C26"")"),290)</f>
        <v>290</v>
      </c>
      <c r="J822" s="270">
        <f ca="1">IFERROR(__xludf.DUMMYFUNCTION("IMPORTRANGE(""https://docs.google.com/spreadsheets/d/19vJNZY_5yjcGF2XGBMNZRCAIB0Kwfpjp8YEOfu-bneM/edit?usp=sharing"",""งานกองทุน!E26"")"),40)</f>
        <v>40</v>
      </c>
      <c r="K822" s="466">
        <f t="shared" ca="1" si="336"/>
        <v>13.793103448275861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IFERROR(__xludf.DUMMYFUNCTION("IMPORTRANGE(""https://docs.google.com/spreadsheets/d/19vJNZY_5yjcGF2XGBMNZRCAIB0Kwfpjp8YEOfu-bneM/edit?usp=sharing"",""งานกองทุน!I26"")"),159680)</f>
        <v>159680</v>
      </c>
      <c r="J823" s="270">
        <f ca="1">IFERROR(__xludf.DUMMYFUNCTION("IMPORTRANGE(""https://docs.google.com/spreadsheets/d/19vJNZY_5yjcGF2XGBMNZRCAIB0Kwfpjp8YEOfu-bneM/edit?usp=sharing"",""งานกองทุน!K26"")"),159680)</f>
        <v>159680</v>
      </c>
      <c r="K823" s="466">
        <f t="shared" ca="1" si="336"/>
        <v>100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IFERROR(__xludf.DUMMYFUNCTION("IMPORTRANGE(""https://docs.google.com/spreadsheets/d/19vJNZY_5yjcGF2XGBMNZRCAIB0Kwfpjp8YEOfu-bneM/edit?usp=sharing"",""งานกองทุน!H26"")"),4)</f>
        <v>4</v>
      </c>
      <c r="J824" s="270">
        <f ca="1">IFERROR(__xludf.DUMMYFUNCTION("IMPORTRANGE(""https://docs.google.com/spreadsheets/d/19vJNZY_5yjcGF2XGBMNZRCAIB0Kwfpjp8YEOfu-bneM/edit?usp=sharing"",""งานกองทุน!J26"")"),4)</f>
        <v>4</v>
      </c>
      <c r="K824" s="466">
        <f t="shared" ca="1" si="336"/>
        <v>100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IFERROR(__xludf.DUMMYFUNCTION("IMPORTRANGE(""https://docs.google.com/spreadsheets/d/19vJNZY_5yjcGF2XGBMNZRCAIB0Kwfpjp8YEOfu-bneM/edit?usp=sharing"",""งานกองทุน!N26"")"),0)</f>
        <v>0</v>
      </c>
      <c r="J825" s="270">
        <f ca="1">IFERROR(__xludf.DUMMYFUNCTION("IMPORTRANGE(""https://docs.google.com/spreadsheets/d/19vJNZY_5yjcGF2XGBMNZRCAIB0Kwfpjp8YEOfu-bneM/edit?usp=sharing"",""งานกองทุน!P26"")"),0)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IFERROR(__xludf.DUMMYFUNCTION("IMPORTRANGE(""https://docs.google.com/spreadsheets/d/19vJNZY_5yjcGF2XGBMNZRCAIB0Kwfpjp8YEOfu-bneM/edit?usp=sharing"",""งานกองทุน!M26"")"),0)</f>
        <v>0</v>
      </c>
      <c r="J826" s="270">
        <f ca="1">IFERROR(__xludf.DUMMYFUNCTION("IMPORTRANGE(""https://docs.google.com/spreadsheets/d/19vJNZY_5yjcGF2XGBMNZRCAIB0Kwfpjp8YEOfu-bneM/edit?usp=sharing"",""งานกองทุน!O26"")"),0)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IFERROR(__xludf.DUMMYFUNCTION("IMPORTRANGE(""https://docs.google.com/spreadsheets/d/19vJNZY_5yjcGF2XGBMNZRCAIB0Kwfpjp8YEOfu-bneM/edit?usp=sharing"",""งานกองทุน!S26"")"),7945000)</f>
        <v>7945000</v>
      </c>
      <c r="J827" s="270">
        <f ca="1">IFERROR(__xludf.DUMMYFUNCTION("IMPORTRANGE(""https://docs.google.com/spreadsheets/d/19vJNZY_5yjcGF2XGBMNZRCAIB0Kwfpjp8YEOfu-bneM/edit?usp=sharing"",""งานกองทุน!U26"")"),1430000)</f>
        <v>1430000</v>
      </c>
      <c r="K827" s="466">
        <f t="shared" ca="1" si="336"/>
        <v>17.998741346758969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IFERROR(__xludf.DUMMYFUNCTION("IMPORTRANGE(""https://docs.google.com/spreadsheets/d/19vJNZY_5yjcGF2XGBMNZRCAIB0Kwfpjp8YEOfu-bneM/edit?usp=sharing"",""งานกองทุน!R26"")"),199)</f>
        <v>199</v>
      </c>
      <c r="J828" s="469">
        <f ca="1">IFERROR(__xludf.DUMMYFUNCTION("IMPORTRANGE(""https://docs.google.com/spreadsheets/d/19vJNZY_5yjcGF2XGBMNZRCAIB0Kwfpjp8YEOfu-bneM/edit?usp=sharing"",""งานกองทุน!T26"")"),43)</f>
        <v>43</v>
      </c>
      <c r="K828" s="470">
        <f t="shared" ca="1" si="336"/>
        <v>21.608040201005025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B1BC6-BF8E-4EA3-B8A4-A3D7D5B9620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10" width="16.8554687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350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5284299</v>
      </c>
      <c r="M8" s="22">
        <f t="shared" ca="1" si="0"/>
        <v>2017790</v>
      </c>
      <c r="N8" s="22">
        <f t="shared" ca="1" si="0"/>
        <v>1440051.35</v>
      </c>
      <c r="O8" s="22">
        <f t="shared" ref="O8:O16" ca="1" si="1">IF(L8&gt;0,N8*100/L8,0)</f>
        <v>27.251511506067313</v>
      </c>
      <c r="P8" s="22">
        <f t="shared" ref="P8:P16" ca="1" si="2">IF(M8&gt;0,N8*100/M8,0)</f>
        <v>71.367751351726398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5284299</v>
      </c>
      <c r="M10" s="30">
        <f t="shared" ca="1" si="3"/>
        <v>2017790</v>
      </c>
      <c r="N10" s="30">
        <f t="shared" ca="1" si="3"/>
        <v>1440051.35</v>
      </c>
      <c r="O10" s="30">
        <f t="shared" ca="1" si="1"/>
        <v>27.251511506067313</v>
      </c>
      <c r="P10" s="30">
        <f t="shared" ca="1" si="2"/>
        <v>71.367751351726398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5202499</v>
      </c>
      <c r="M11" s="466">
        <f t="shared" ca="1" si="4"/>
        <v>1937790</v>
      </c>
      <c r="N11" s="466">
        <f t="shared" ca="1" si="4"/>
        <v>1360051.35</v>
      </c>
      <c r="O11" s="466">
        <f t="shared" ca="1" si="1"/>
        <v>26.14227028203177</v>
      </c>
      <c r="P11" s="466">
        <f t="shared" ca="1" si="2"/>
        <v>70.185693496199278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5202499</v>
      </c>
      <c r="M13" s="93">
        <f t="shared" ca="1" si="5"/>
        <v>1937790</v>
      </c>
      <c r="N13" s="93">
        <f t="shared" ca="1" si="5"/>
        <v>1360051.35</v>
      </c>
      <c r="O13" s="93">
        <f t="shared" ca="1" si="1"/>
        <v>26.14227028203177</v>
      </c>
      <c r="P13" s="93">
        <f t="shared" ca="1" si="2"/>
        <v>70.185693496199278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81800</v>
      </c>
      <c r="M14" s="466">
        <f t="shared" ca="1" si="6"/>
        <v>80000</v>
      </c>
      <c r="N14" s="466">
        <f t="shared" ca="1" si="6"/>
        <v>80000</v>
      </c>
      <c r="O14" s="466">
        <f t="shared" ca="1" si="1"/>
        <v>97.799511002444987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81800</v>
      </c>
      <c r="M16" s="52">
        <f t="shared" ca="1" si="7"/>
        <v>80000</v>
      </c>
      <c r="N16" s="52">
        <f t="shared" ca="1" si="7"/>
        <v>80000</v>
      </c>
      <c r="O16" s="52">
        <f t="shared" ca="1" si="1"/>
        <v>97.799511002444987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3963020</v>
      </c>
      <c r="M18" s="22">
        <f t="shared" ca="1" si="8"/>
        <v>2017790</v>
      </c>
      <c r="N18" s="22">
        <f t="shared" ca="1" si="8"/>
        <v>1242450.3500000001</v>
      </c>
      <c r="O18" s="22">
        <f t="shared" ref="O18:O26" ca="1" si="9">IF(L18&gt;0,N18*100/L18,0)</f>
        <v>31.351099666416019</v>
      </c>
      <c r="P18" s="22">
        <f t="shared" ref="P18:P26" ca="1" si="10">IF(M18&gt;0,N18*100/M18,0)</f>
        <v>61.574809568884774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3963020</v>
      </c>
      <c r="M20" s="30">
        <f t="shared" ca="1" si="11"/>
        <v>2017790</v>
      </c>
      <c r="N20" s="30">
        <f t="shared" ca="1" si="11"/>
        <v>1242450.3500000001</v>
      </c>
      <c r="O20" s="30">
        <f t="shared" ca="1" si="9"/>
        <v>31.351099666416019</v>
      </c>
      <c r="P20" s="30">
        <f t="shared" ca="1" si="10"/>
        <v>61.574809568884774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3881220</v>
      </c>
      <c r="M21" s="466">
        <f t="shared" ca="1" si="12"/>
        <v>1937790</v>
      </c>
      <c r="N21" s="466">
        <f t="shared" ca="1" si="12"/>
        <v>1162450.3500000001</v>
      </c>
      <c r="O21" s="466">
        <f t="shared" ca="1" si="9"/>
        <v>29.950643096758238</v>
      </c>
      <c r="P21" s="466">
        <f t="shared" ca="1" si="10"/>
        <v>59.988458501695234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3881220</v>
      </c>
      <c r="M23" s="93">
        <f t="shared" ca="1" si="13"/>
        <v>1937790</v>
      </c>
      <c r="N23" s="93">
        <f t="shared" ca="1" si="13"/>
        <v>1162450.3500000001</v>
      </c>
      <c r="O23" s="93">
        <f t="shared" ca="1" si="9"/>
        <v>29.950643096758238</v>
      </c>
      <c r="P23" s="93">
        <f t="shared" ca="1" si="10"/>
        <v>59.988458501695234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81800</v>
      </c>
      <c r="M24" s="466">
        <f t="shared" ca="1" si="14"/>
        <v>80000</v>
      </c>
      <c r="N24" s="466">
        <f t="shared" ca="1" si="14"/>
        <v>80000</v>
      </c>
      <c r="O24" s="466">
        <f t="shared" ca="1" si="9"/>
        <v>97.799511002444987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81800</v>
      </c>
      <c r="M26" s="52">
        <f t="shared" ca="1" si="15"/>
        <v>80000</v>
      </c>
      <c r="N26" s="52">
        <f t="shared" ca="1" si="15"/>
        <v>80000</v>
      </c>
      <c r="O26" s="52">
        <f t="shared" ca="1" si="9"/>
        <v>97.799511002444987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1321279</v>
      </c>
      <c r="M28" s="22">
        <f t="shared" si="16"/>
        <v>0</v>
      </c>
      <c r="N28" s="22">
        <f t="shared" si="16"/>
        <v>197601</v>
      </c>
      <c r="O28" s="22">
        <f t="shared" ref="O28:O37" ca="1" si="17">IF(L28&gt;0,N28*100/L28,0)</f>
        <v>14.955281965428952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1321279</v>
      </c>
      <c r="M30" s="30">
        <f t="shared" si="19"/>
        <v>0</v>
      </c>
      <c r="N30" s="30">
        <f t="shared" si="19"/>
        <v>197601</v>
      </c>
      <c r="O30" s="30">
        <f t="shared" ca="1" si="17"/>
        <v>14.955281965428952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1321279</v>
      </c>
      <c r="M31" s="466">
        <f t="shared" si="20"/>
        <v>0</v>
      </c>
      <c r="N31" s="466">
        <f t="shared" si="20"/>
        <v>197601</v>
      </c>
      <c r="O31" s="466">
        <f t="shared" ca="1" si="17"/>
        <v>14.955281965428952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1321279</v>
      </c>
      <c r="M33" s="93">
        <f t="shared" si="21"/>
        <v>0</v>
      </c>
      <c r="N33" s="93">
        <f t="shared" si="21"/>
        <v>197601</v>
      </c>
      <c r="O33" s="93">
        <f t="shared" ca="1" si="17"/>
        <v>14.955281965428952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3963020</v>
      </c>
      <c r="M37" s="832">
        <f t="shared" ca="1" si="24"/>
        <v>2017790</v>
      </c>
      <c r="N37" s="832">
        <f t="shared" ca="1" si="24"/>
        <v>1242450.3500000001</v>
      </c>
      <c r="O37" s="832">
        <f t="shared" ca="1" si="17"/>
        <v>31.351099666416019</v>
      </c>
      <c r="P37" s="832">
        <f t="shared" ca="1" si="18"/>
        <v>61.574809568884774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522850</v>
      </c>
      <c r="M41" s="85">
        <f t="shared" ca="1" si="25"/>
        <v>276050</v>
      </c>
      <c r="N41" s="85">
        <f t="shared" ca="1" si="25"/>
        <v>172202</v>
      </c>
      <c r="O41" s="85">
        <f t="shared" ref="O41:O49" ca="1" si="26">IF(L41&gt;0,N41*100/L41,0)</f>
        <v>32.935258678397247</v>
      </c>
      <c r="P41" s="85">
        <f t="shared" ref="P41:P49" ca="1" si="27">IF(M41&gt;0,N41*100/M41,0)</f>
        <v>62.380728128962147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522850</v>
      </c>
      <c r="M43" s="92">
        <f t="shared" ca="1" si="28"/>
        <v>276050</v>
      </c>
      <c r="N43" s="92">
        <f t="shared" ca="1" si="28"/>
        <v>172202</v>
      </c>
      <c r="O43" s="92">
        <f t="shared" ca="1" si="26"/>
        <v>32.935258678397247</v>
      </c>
      <c r="P43" s="92">
        <f t="shared" ca="1" si="27"/>
        <v>62.380728128962147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522850</v>
      </c>
      <c r="M44" s="466">
        <f t="shared" ca="1" si="29"/>
        <v>276050</v>
      </c>
      <c r="N44" s="466">
        <f t="shared" ca="1" si="29"/>
        <v>172202</v>
      </c>
      <c r="O44" s="466">
        <f t="shared" ca="1" si="26"/>
        <v>32.935258678397247</v>
      </c>
      <c r="P44" s="466">
        <f t="shared" ca="1" si="27"/>
        <v>62.380728128962147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IFERROR(__xludf.DUMMYFUNCTION("IMPORTRANGE(""https://docs.google.com/spreadsheets/d/1MeEWN-I1oV_STSDYn1IFDPWt_1FKiwhDph83XaGc0o0/edit?usp=sharing"",""งบพรบ!M27"")"),522850)</f>
        <v>522850</v>
      </c>
      <c r="M46" s="93">
        <f ca="1">IFERROR(__xludf.DUMMYFUNCTION("IMPORTRANGE(""https://docs.google.com/spreadsheets/d/1MeEWN-I1oV_STSDYn1IFDPWt_1FKiwhDph83XaGc0o0/edit?usp=sharing"",""งบพรบ!R27"")"),276050)</f>
        <v>276050</v>
      </c>
      <c r="N46" s="93">
        <f ca="1">IFERROR(__xludf.DUMMYFUNCTION("IMPORTRANGE(""https://docs.google.com/spreadsheets/d/1MeEWN-I1oV_STSDYn1IFDPWt_1FKiwhDph83XaGc0o0/edit?usp=sharing"",""งบพรบ!T27"")"),172202)</f>
        <v>172202</v>
      </c>
      <c r="O46" s="93">
        <f t="shared" ca="1" si="26"/>
        <v>32.935258678397247</v>
      </c>
      <c r="P46" s="93">
        <f t="shared" ca="1" si="27"/>
        <v>62.380728128962147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IFERROR(__xludf.DUMMYFUNCTION("IMPORTRANGE(""https://docs.google.com/spreadsheets/d/1MeEWN-I1oV_STSDYn1IFDPWt_1FKiwhDph83XaGc0o0/edit?usp=sharing"",""งบพรบ!P27"")"),0)</f>
        <v>0</v>
      </c>
      <c r="M49" s="52">
        <f ca="1">IFERROR(__xludf.DUMMYFUNCTION("IMPORTRANGE(""https://docs.google.com/spreadsheets/d/1MeEWN-I1oV_STSDYn1IFDPWt_1FKiwhDph83XaGc0o0/edit?usp=sharing"",""งบพรบ!S27"")"),0)</f>
        <v>0</v>
      </c>
      <c r="N49" s="52">
        <f ca="1">IFERROR(__xludf.DUMMYFUNCTION("IMPORTRANGE(""https://docs.google.com/spreadsheets/d/1MeEWN-I1oV_STSDYn1IFDPWt_1FKiwhDph83XaGc0o0/edit?usp=sharing"",""งบพรบ!U27"")"),0)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865100</v>
      </c>
      <c r="M53" s="116">
        <f t="shared" ca="1" si="31"/>
        <v>471650</v>
      </c>
      <c r="N53" s="116">
        <f t="shared" ca="1" si="31"/>
        <v>401504.62</v>
      </c>
      <c r="O53" s="116">
        <f t="shared" ref="O53:O61" ca="1" si="32">IF(L53&gt;0,N53*100/L53,0)</f>
        <v>46.411353600739801</v>
      </c>
      <c r="P53" s="116">
        <f t="shared" ref="P53:P61" ca="1" si="33">IF(M53&gt;0,N53*100/M53,0)</f>
        <v>85.127662461571077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865100</v>
      </c>
      <c r="M55" s="123">
        <f t="shared" ca="1" si="34"/>
        <v>471650</v>
      </c>
      <c r="N55" s="123">
        <f t="shared" ca="1" si="34"/>
        <v>401504.62</v>
      </c>
      <c r="O55" s="123">
        <f t="shared" ca="1" si="32"/>
        <v>46.411353600739801</v>
      </c>
      <c r="P55" s="123">
        <f t="shared" ca="1" si="33"/>
        <v>85.127662461571077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783300</v>
      </c>
      <c r="M56" s="466">
        <f t="shared" ca="1" si="35"/>
        <v>391650</v>
      </c>
      <c r="N56" s="466">
        <f t="shared" ca="1" si="35"/>
        <v>321504.62</v>
      </c>
      <c r="O56" s="466">
        <f t="shared" ca="1" si="32"/>
        <v>41.044889569768927</v>
      </c>
      <c r="P56" s="466">
        <f t="shared" ca="1" si="33"/>
        <v>82.089779139537853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IFERROR(__xludf.DUMMYFUNCTION("IMPORTRANGE(""https://docs.google.com/spreadsheets/d/1MeEWN-I1oV_STSDYn1IFDPWt_1FKiwhDph83XaGc0o0/edit?usp=sharing"",""งบพรบ!W27"")"),783300)</f>
        <v>783300</v>
      </c>
      <c r="M58" s="93">
        <f ca="1">IFERROR(__xludf.DUMMYFUNCTION("IMPORTRANGE(""https://docs.google.com/spreadsheets/d/1MeEWN-I1oV_STSDYn1IFDPWt_1FKiwhDph83XaGc0o0/edit?usp=sharing"",""งบพรบ!AB27"")"),391650)</f>
        <v>391650</v>
      </c>
      <c r="N58" s="93">
        <f ca="1">IFERROR(__xludf.DUMMYFUNCTION("IMPORTRANGE(""https://docs.google.com/spreadsheets/d/1MeEWN-I1oV_STSDYn1IFDPWt_1FKiwhDph83XaGc0o0/edit?usp=sharing"",""งบพรบ!AD27"")"),321504.62)</f>
        <v>321504.62</v>
      </c>
      <c r="O58" s="93">
        <f t="shared" ca="1" si="32"/>
        <v>41.044889569768927</v>
      </c>
      <c r="P58" s="93">
        <f t="shared" ca="1" si="33"/>
        <v>82.089779139537853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81800</v>
      </c>
      <c r="M59" s="466">
        <f t="shared" ca="1" si="36"/>
        <v>80000</v>
      </c>
      <c r="N59" s="466">
        <f t="shared" ca="1" si="36"/>
        <v>80000</v>
      </c>
      <c r="O59" s="466">
        <f t="shared" ca="1" si="32"/>
        <v>97.799511002444987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IFERROR(__xludf.DUMMYFUNCTION("IMPORTRANGE(""https://docs.google.com/spreadsheets/d/1MeEWN-I1oV_STSDYn1IFDPWt_1FKiwhDph83XaGc0o0/edit?usp=sharing"",""งบพรบ!Z27"")"),81800)</f>
        <v>81800</v>
      </c>
      <c r="M61" s="52">
        <f ca="1">IFERROR(__xludf.DUMMYFUNCTION("IMPORTRANGE(""https://docs.google.com/spreadsheets/d/1MeEWN-I1oV_STSDYn1IFDPWt_1FKiwhDph83XaGc0o0/edit?usp=sharing"",""งบพรบ!AC27"")"),80000)</f>
        <v>80000</v>
      </c>
      <c r="N61" s="52">
        <f ca="1">IFERROR(__xludf.DUMMYFUNCTION("IMPORTRANGE(""https://docs.google.com/spreadsheets/d/1MeEWN-I1oV_STSDYn1IFDPWt_1FKiwhDph83XaGc0o0/edit?usp=sharing"",""งบพรบ!AE27"")"),80000)</f>
        <v>80000</v>
      </c>
      <c r="O61" s="52">
        <f t="shared" ca="1" si="32"/>
        <v>97.799511002444987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919600</v>
      </c>
      <c r="M66" s="155">
        <f t="shared" ca="1" si="39"/>
        <v>453800</v>
      </c>
      <c r="N66" s="155">
        <f t="shared" ca="1" si="39"/>
        <v>268108.48</v>
      </c>
      <c r="O66" s="155">
        <f t="shared" ref="O66:O74" ca="1" si="40">IF(L66&gt;0,N66*100/L66,0)</f>
        <v>29.15490213136146</v>
      </c>
      <c r="P66" s="155">
        <f t="shared" ref="P66:P74" ca="1" si="41">IF(M66&gt;0,N66*100/M66,0)</f>
        <v>59.080758043190833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919600</v>
      </c>
      <c r="M68" s="93">
        <f t="shared" ca="1" si="42"/>
        <v>453800</v>
      </c>
      <c r="N68" s="93">
        <f t="shared" ca="1" si="42"/>
        <v>268108.48</v>
      </c>
      <c r="O68" s="93">
        <f t="shared" ca="1" si="40"/>
        <v>29.15490213136146</v>
      </c>
      <c r="P68" s="93">
        <f t="shared" ca="1" si="41"/>
        <v>59.080758043190833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919600</v>
      </c>
      <c r="M69" s="466">
        <f t="shared" ca="1" si="43"/>
        <v>453800</v>
      </c>
      <c r="N69" s="466">
        <f t="shared" ca="1" si="43"/>
        <v>268108.48</v>
      </c>
      <c r="O69" s="466">
        <f t="shared" ca="1" si="40"/>
        <v>29.15490213136146</v>
      </c>
      <c r="P69" s="466">
        <f t="shared" ca="1" si="41"/>
        <v>59.080758043190833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IFERROR(__xludf.DUMMYFUNCTION("IMPORTRANGE(""https://docs.google.com/spreadsheets/d/1MeEWN-I1oV_STSDYn1IFDPWt_1FKiwhDph83XaGc0o0/edit?usp=sharing"",""งบพรบ!AG27"")"),919600)</f>
        <v>919600</v>
      </c>
      <c r="M71" s="93">
        <f ca="1">IFERROR(__xludf.DUMMYFUNCTION("IMPORTRANGE(""https://docs.google.com/spreadsheets/d/1MeEWN-I1oV_STSDYn1IFDPWt_1FKiwhDph83XaGc0o0/edit?usp=sharing"",""งบพรบ!AL27"")"),453800)</f>
        <v>453800</v>
      </c>
      <c r="N71" s="93">
        <f ca="1">IFERROR(__xludf.DUMMYFUNCTION("IMPORTRANGE(""https://docs.google.com/spreadsheets/d/1MeEWN-I1oV_STSDYn1IFDPWt_1FKiwhDph83XaGc0o0/edit?usp=sharing"",""งบพรบ!AN27"")"),268108.48)</f>
        <v>268108.48</v>
      </c>
      <c r="O71" s="93">
        <f t="shared" ca="1" si="40"/>
        <v>29.15490213136146</v>
      </c>
      <c r="P71" s="93">
        <f t="shared" ca="1" si="41"/>
        <v>59.080758043190833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IFERROR(__xludf.DUMMYFUNCTION("IMPORTRANGE(""https://docs.google.com/spreadsheets/d/1MeEWN-I1oV_STSDYn1IFDPWt_1FKiwhDph83XaGc0o0/edit?usp=sharing"",""งบพรบ!AJ27"")"),0)</f>
        <v>0</v>
      </c>
      <c r="M74" s="93">
        <f ca="1">IFERROR(__xludf.DUMMYFUNCTION("IMPORTRANGE(""https://docs.google.com/spreadsheets/d/1MeEWN-I1oV_STSDYn1IFDPWt_1FKiwhDph83XaGc0o0/edit?usp=sharing"",""งบพรบ!AM27"")"),0)</f>
        <v>0</v>
      </c>
      <c r="N74" s="93">
        <f ca="1">IFERROR(__xludf.DUMMYFUNCTION("IMPORTRANGE(""https://docs.google.com/spreadsheets/d/1MeEWN-I1oV_STSDYn1IFDPWt_1FKiwhDph83XaGc0o0/edit?usp=sharing"",""งบพรบ!AO27"")"),0)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IFERROR(__xludf.DUMMYFUNCTION("IMPORTRANGE(""https://docs.google.com/spreadsheets/d/1QqKyyYR6Q21VydFLVH3TRQUabQu_ym0Zz7PgGX0-kHA/edit?usp=sharing"",""แผน!F27"")"),1)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IFERROR(__xludf.DUMMYFUNCTION("IMPORTRANGE(""https://docs.google.com/spreadsheets/d/1QqKyyYR6Q21VydFLVH3TRQUabQu_ym0Zz7PgGX0-kHA/edit?usp=sharing"",""แผน!G27"")"),35)</f>
        <v>35</v>
      </c>
      <c r="J81" s="215">
        <v>35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IFERROR(__xludf.DUMMYFUNCTION("IMPORTRANGE(""https://docs.google.com/spreadsheets/d/1QqKyyYR6Q21VydFLVH3TRQUabQu_ym0Zz7PgGX0-kHA/edit?usp=sharing"",""แผน!J27"")"),1)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116140</v>
      </c>
      <c r="M88" s="155">
        <f t="shared" ca="1" si="49"/>
        <v>52090</v>
      </c>
      <c r="N88" s="155">
        <f t="shared" ca="1" si="49"/>
        <v>27594.87</v>
      </c>
      <c r="O88" s="155">
        <f t="shared" ref="O88:O96" ca="1" si="50">IF(L88&gt;0,N88*100/L88,0)</f>
        <v>23.76000516617875</v>
      </c>
      <c r="P88" s="155">
        <f t="shared" ref="P88:P96" ca="1" si="51">IF(M88&gt;0,N88*100/M88,0)</f>
        <v>52.975369552697252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116140</v>
      </c>
      <c r="M90" s="93">
        <f t="shared" ca="1" si="52"/>
        <v>52090</v>
      </c>
      <c r="N90" s="93">
        <f t="shared" ca="1" si="52"/>
        <v>27594.87</v>
      </c>
      <c r="O90" s="93">
        <f t="shared" ca="1" si="50"/>
        <v>23.76000516617875</v>
      </c>
      <c r="P90" s="93">
        <f t="shared" ca="1" si="51"/>
        <v>52.975369552697252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116140</v>
      </c>
      <c r="M91" s="466">
        <f t="shared" ca="1" si="53"/>
        <v>52090</v>
      </c>
      <c r="N91" s="466">
        <f t="shared" ca="1" si="53"/>
        <v>27594.87</v>
      </c>
      <c r="O91" s="466">
        <f t="shared" ca="1" si="50"/>
        <v>23.76000516617875</v>
      </c>
      <c r="P91" s="466">
        <f t="shared" ca="1" si="51"/>
        <v>52.975369552697252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IFERROR(__xludf.DUMMYFUNCTION("IMPORTRANGE(""https://docs.google.com/spreadsheets/d/1MeEWN-I1oV_STSDYn1IFDPWt_1FKiwhDph83XaGc0o0/edit?usp=sharing"",""งบพรบ!AQ27"")"),116140)</f>
        <v>116140</v>
      </c>
      <c r="M93" s="93">
        <f ca="1">IFERROR(__xludf.DUMMYFUNCTION("IMPORTRANGE(""https://docs.google.com/spreadsheets/d/1MeEWN-I1oV_STSDYn1IFDPWt_1FKiwhDph83XaGc0o0/edit?usp=sharing"",""งบพรบ!AV27"")"),52090)</f>
        <v>52090</v>
      </c>
      <c r="N93" s="93">
        <f ca="1">IFERROR(__xludf.DUMMYFUNCTION("IMPORTRANGE(""https://docs.google.com/spreadsheets/d/1MeEWN-I1oV_STSDYn1IFDPWt_1FKiwhDph83XaGc0o0/edit?usp=sharing"",""งบพรบ!AX27"")"),27594.87)</f>
        <v>27594.87</v>
      </c>
      <c r="O93" s="93">
        <f t="shared" ca="1" si="50"/>
        <v>23.76000516617875</v>
      </c>
      <c r="P93" s="93">
        <f t="shared" ca="1" si="51"/>
        <v>52.975369552697252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IFERROR(__xludf.DUMMYFUNCTION("IMPORTRANGE(""https://docs.google.com/spreadsheets/d/1MeEWN-I1oV_STSDYn1IFDPWt_1FKiwhDph83XaGc0o0/edit?usp=sharing"",""งบพรบ!AT27"")"),0)</f>
        <v>0</v>
      </c>
      <c r="M96" s="93">
        <f ca="1">IFERROR(__xludf.DUMMYFUNCTION("IMPORTRANGE(""https://docs.google.com/spreadsheets/d/1MeEWN-I1oV_STSDYn1IFDPWt_1FKiwhDph83XaGc0o0/edit?usp=sharing"",""งบพรบ!AW27"")"),0)</f>
        <v>0</v>
      </c>
      <c r="N96" s="93">
        <f ca="1">IFERROR(__xludf.DUMMYFUNCTION("IMPORTRANGE(""https://docs.google.com/spreadsheets/d/1MeEWN-I1oV_STSDYn1IFDPWt_1FKiwhDph83XaGc0o0/edit?usp=sharing"",""งบพรบ!AY27"")"),0)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IFERROR(__xludf.DUMMYFUNCTION("IMPORTRANGE(""https://docs.google.com/spreadsheets/d/1QqKyyYR6Q21VydFLVH3TRQUabQu_ym0Zz7PgGX0-kHA/edit?usp=sharing"",""แผน!K27"")"),30)</f>
        <v>30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IFERROR(__xludf.DUMMYFUNCTION("IMPORTRANGE(""https://docs.google.com/spreadsheets/d/1QqKyyYR6Q21VydFLVH3TRQUabQu_ym0Zz7PgGX0-kHA/edit?usp=sharing"",""แผน!L27"")"),10)</f>
        <v>10</v>
      </c>
      <c r="J99" s="270">
        <f>J104</f>
        <v>0</v>
      </c>
      <c r="K99" s="466">
        <f t="shared" ca="1" si="55"/>
        <v>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IFERROR(__xludf.DUMMYFUNCTION("IMPORTRANGE(""https://docs.google.com/spreadsheets/d/1QqKyyYR6Q21VydFLVH3TRQUabQu_ym0Zz7PgGX0-kHA/edit?usp=sharing"",""แผน!M27"")"),3)</f>
        <v>3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IFERROR(__xludf.DUMMYFUNCTION("IMPORTRANGE(""https://docs.google.com/spreadsheets/d/1QqKyyYR6Q21VydFLVH3TRQUabQu_ym0Zz7PgGX0-kHA/edit?usp=sharing"",""แผน!N27"")"),30)</f>
        <v>30</v>
      </c>
      <c r="J102" s="215"/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IFERROR(__xludf.DUMMYFUNCTION("IMPORTRANGE(""https://docs.google.com/spreadsheets/d/1QqKyyYR6Q21VydFLVH3TRQUabQu_ym0Zz7PgGX0-kHA/edit?usp=sharing"",""แผน!O27"")"),10)</f>
        <v>10</v>
      </c>
      <c r="J103" s="215"/>
      <c r="K103" s="466">
        <f t="shared" ca="1" si="56"/>
        <v>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IFERROR(__xludf.DUMMYFUNCTION("IMPORTRANGE(""https://docs.google.com/spreadsheets/d/1QqKyyYR6Q21VydFLVH3TRQUabQu_ym0Zz7PgGX0-kHA/edit?usp=sharing"",""แผน!O27"")"),10)</f>
        <v>10</v>
      </c>
      <c r="J104" s="215">
        <v>0</v>
      </c>
      <c r="K104" s="466">
        <f t="shared" ca="1" si="56"/>
        <v>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IFERROR(__xludf.DUMMYFUNCTION("IMPORTRANGE(""https://docs.google.com/spreadsheets/d/1QqKyyYR6Q21VydFLVH3TRQUabQu_ym0Zz7PgGX0-kHA/edit?usp=sharing"",""แผน!P27"")"),1)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IFERROR(__xludf.DUMMYFUNCTION("IMPORTRANGE(""https://docs.google.com/spreadsheets/d/1QqKyyYR6Q21VydFLVH3TRQUabQu_ym0Zz7PgGX0-kHA/edit?usp=sharing"",""แผน!P27"")"),1)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IFERROR(__xludf.DUMMYFUNCTION("IMPORTRANGE(""https://docs.google.com/spreadsheets/d/1QqKyyYR6Q21VydFLVH3TRQUabQu_ym0Zz7PgGX0-kHA/edit?usp=sharing"",""แผน!Q27"")"),2)</f>
        <v>2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IFERROR(__xludf.DUMMYFUNCTION("IMPORTRANGE(""https://docs.google.com/spreadsheets/d/1QqKyyYR6Q21VydFLVH3TRQUabQu_ym0Zz7PgGX0-kHA/edit?usp=sharing"",""แผน!Q27"")"),2)</f>
        <v>2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IFERROR(__xludf.DUMMYFUNCTION("IMPORTRANGE(""https://docs.google.com/spreadsheets/d/1QqKyyYR6Q21VydFLVH3TRQUabQu_ym0Zz7PgGX0-kHA/edit?usp=sharing"",""แผน!R27"")"),10)</f>
        <v>10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3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IFERROR(__xludf.DUMMYFUNCTION("IMPORTRANGE(""https://docs.google.com/spreadsheets/d/1QqKyyYR6Q21VydFLVH3TRQUabQu_ym0Zz7PgGX0-kHA/edit?usp=sharing"",""แผน!S27"")"),1)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IFERROR(__xludf.DUMMYFUNCTION("IMPORTRANGE(""https://docs.google.com/spreadsheets/d/1QqKyyYR6Q21VydFLVH3TRQUabQu_ym0Zz7PgGX0-kHA/edit?usp=sharing"",""แผน!T27"")"),2)</f>
        <v>2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IFERROR(__xludf.DUMMYFUNCTION("IMPORTRANGE(""https://docs.google.com/spreadsheets/d/1MeEWN-I1oV_STSDYn1IFDPWt_1FKiwhDph83XaGc0o0/edit?usp=sharing"",""งบพรบ!BA27"")"),0)</f>
        <v>0</v>
      </c>
      <c r="M124" s="93">
        <f ca="1">IFERROR(__xludf.DUMMYFUNCTION("IMPORTRANGE(""https://docs.google.com/spreadsheets/d/1MeEWN-I1oV_STSDYn1IFDPWt_1FKiwhDph83XaGc0o0/edit?usp=sharing"",""งบพรบ!BF27"")"),0)</f>
        <v>0</v>
      </c>
      <c r="N124" s="93">
        <f ca="1">IFERROR(__xludf.DUMMYFUNCTION("IMPORTRANGE(""https://docs.google.com/spreadsheets/d/1MeEWN-I1oV_STSDYn1IFDPWt_1FKiwhDph83XaGc0o0/edit?usp=sharing"",""งบพรบ!BH27"")"),0)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IFERROR(__xludf.DUMMYFUNCTION("IMPORTRANGE(""https://docs.google.com/spreadsheets/d/1MeEWN-I1oV_STSDYn1IFDPWt_1FKiwhDph83XaGc0o0/edit?usp=sharing"",""งบพรบ!BD27"")"),0)</f>
        <v>0</v>
      </c>
      <c r="M127" s="93">
        <f ca="1">IFERROR(__xludf.DUMMYFUNCTION("IMPORTRANGE(""https://docs.google.com/spreadsheets/d/1MeEWN-I1oV_STSDYn1IFDPWt_1FKiwhDph83XaGc0o0/edit?usp=sharing"",""งบพรบ!BG27"")"),0)</f>
        <v>0</v>
      </c>
      <c r="N127" s="93">
        <f ca="1">IFERROR(__xludf.DUMMYFUNCTION("IMPORTRANGE(""https://docs.google.com/spreadsheets/d/1MeEWN-I1oV_STSDYn1IFDPWt_1FKiwhDph83XaGc0o0/edit?usp=sharing"",""งบพรบ!BI27"")"),0)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IFERROR(__xludf.DUMMYFUNCTION("IMPORTRANGE(""https://docs.google.com/spreadsheets/d/1MeEWN-I1oV_STSDYn1IFDPWt_1FKiwhDph83XaGc0o0/edit?usp=sharing"",""งบพรบ!BK27"")"),0)</f>
        <v>0</v>
      </c>
      <c r="M137" s="93">
        <f ca="1">IFERROR(__xludf.DUMMYFUNCTION("IMPORTRANGE(""https://docs.google.com/spreadsheets/d/1MeEWN-I1oV_STSDYn1IFDPWt_1FKiwhDph83XaGc0o0/edit?usp=sharing"",""งบพรบ!BP27"")"),0)</f>
        <v>0</v>
      </c>
      <c r="N137" s="93">
        <f ca="1">IFERROR(__xludf.DUMMYFUNCTION("IMPORTRANGE(""https://docs.google.com/spreadsheets/d/1MeEWN-I1oV_STSDYn1IFDPWt_1FKiwhDph83XaGc0o0/edit?usp=sharing"",""งบพรบ!BR27"")"),0)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IFERROR(__xludf.DUMMYFUNCTION("IMPORTRANGE(""https://docs.google.com/spreadsheets/d/1MeEWN-I1oV_STSDYn1IFDPWt_1FKiwhDph83XaGc0o0/edit?usp=sharing"",""งบพรบ!BN27"")"),0)</f>
        <v>0</v>
      </c>
      <c r="M140" s="93">
        <f ca="1">IFERROR(__xludf.DUMMYFUNCTION("IMPORTRANGE(""https://docs.google.com/spreadsheets/d/1MeEWN-I1oV_STSDYn1IFDPWt_1FKiwhDph83XaGc0o0/edit?usp=sharing"",""งบพรบ!BQ27"")"),0)</f>
        <v>0</v>
      </c>
      <c r="N140" s="93">
        <f ca="1">IFERROR(__xludf.DUMMYFUNCTION("IMPORTRANGE(""https://docs.google.com/spreadsheets/d/1MeEWN-I1oV_STSDYn1IFDPWt_1FKiwhDph83XaGc0o0/edit?usp=sharing"",""งบพรบ!BS27"")"),0)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IFERROR(__xludf.DUMMYFUNCTION("IMPORTRANGE(""https://docs.google.com/spreadsheets/d/1QqKyyYR6Q21VydFLVH3TRQUabQu_ym0Zz7PgGX0-kHA/edit?usp=sharing"",""แผน!U27"")"),0)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IFERROR(__xludf.DUMMYFUNCTION("IMPORTRANGE(""https://docs.google.com/spreadsheets/d/1QqKyyYR6Q21VydFLVH3TRQUabQu_ym0Zz7PgGX0-kHA/edit?usp=sharing"",""แผน!V27"")"),0)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IFERROR(__xludf.DUMMYFUNCTION("IMPORTRANGE(""https://docs.google.com/spreadsheets/d/1QqKyyYR6Q21VydFLVH3TRQUabQu_ym0Zz7PgGX0-kHA/edit?usp=sharing"",""แผน!W27"")"),0)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11680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11680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11680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IFERROR(__xludf.DUMMYFUNCTION("IMPORTRANGE(""https://docs.google.com/spreadsheets/d/1MeEWN-I1oV_STSDYn1IFDPWt_1FKiwhDph83XaGc0o0/edit?usp=sharing"",""งบพรบ!BU27"")"),10000)</f>
        <v>10000</v>
      </c>
      <c r="M154" s="93">
        <f ca="1">IFERROR(__xludf.DUMMYFUNCTION("IMPORTRANGE(""https://docs.google.com/spreadsheets/d/1MeEWN-I1oV_STSDYn1IFDPWt_1FKiwhDph83XaGc0o0/edit?usp=sharing"",""งบพรบ!BZ27"")"),11680)</f>
        <v>11680</v>
      </c>
      <c r="N154" s="93">
        <f ca="1">IFERROR(__xludf.DUMMYFUNCTION("IMPORTRANGE(""https://docs.google.com/spreadsheets/d/1MeEWN-I1oV_STSDYn1IFDPWt_1FKiwhDph83XaGc0o0/edit?usp=sharing"",""งบพรบ!CB27"")"),0)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IFERROR(__xludf.DUMMYFUNCTION("IMPORTRANGE(""https://docs.google.com/spreadsheets/d/1MeEWN-I1oV_STSDYn1IFDPWt_1FKiwhDph83XaGc0o0/edit?usp=sharing"",""งบพรบ!BX27"")"),0)</f>
        <v>0</v>
      </c>
      <c r="M157" s="93">
        <f ca="1">IFERROR(__xludf.DUMMYFUNCTION("IMPORTRANGE(""https://docs.google.com/spreadsheets/d/1MeEWN-I1oV_STSDYn1IFDPWt_1FKiwhDph83XaGc0o0/edit?usp=sharing"",""งบพรบ!CA27"")"),0)</f>
        <v>0</v>
      </c>
      <c r="N157" s="93">
        <f ca="1">IFERROR(__xludf.DUMMYFUNCTION("IMPORTRANGE(""https://docs.google.com/spreadsheets/d/1MeEWN-I1oV_STSDYn1IFDPWt_1FKiwhDph83XaGc0o0/edit?usp=sharing"",""งบพรบ!CC27"")"),0)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IFERROR(__xludf.DUMMYFUNCTION("IMPORTRANGE(""https://docs.google.com/spreadsheets/d/1QqKyyYR6Q21VydFLVH3TRQUabQu_ym0Zz7PgGX0-kHA/edit?usp=sharing"",""แผน!X27"")"),20)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16630</v>
      </c>
      <c r="O165" s="155">
        <f t="shared" ref="O165:O173" ca="1" si="85">IF(L165&gt;0,N165*100/L165,0)</f>
        <v>79.00237529691212</v>
      </c>
      <c r="P165" s="155">
        <f t="shared" ref="P165:P173" ca="1" si="86">IF(M165&gt;0,N165*100/M165,0)</f>
        <v>79.00237529691212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16630</v>
      </c>
      <c r="O167" s="93">
        <f t="shared" ca="1" si="85"/>
        <v>79.00237529691212</v>
      </c>
      <c r="P167" s="93">
        <f t="shared" ca="1" si="86"/>
        <v>79.00237529691212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21050</v>
      </c>
      <c r="N168" s="466">
        <f t="shared" ca="1" si="88"/>
        <v>16630</v>
      </c>
      <c r="O168" s="466">
        <f t="shared" ca="1" si="85"/>
        <v>79.00237529691212</v>
      </c>
      <c r="P168" s="466">
        <f t="shared" ca="1" si="86"/>
        <v>79.00237529691212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IFERROR(__xludf.DUMMYFUNCTION("IMPORTRANGE(""https://docs.google.com/spreadsheets/d/1MeEWN-I1oV_STSDYn1IFDPWt_1FKiwhDph83XaGc0o0/edit?usp=sharing"",""งบพรบ!CE27"")"),21050)</f>
        <v>21050</v>
      </c>
      <c r="M170" s="93">
        <f ca="1">IFERROR(__xludf.DUMMYFUNCTION("IMPORTRANGE(""https://docs.google.com/spreadsheets/d/1MeEWN-I1oV_STSDYn1IFDPWt_1FKiwhDph83XaGc0o0/edit?usp=sharing"",""งบพรบ!CJ27"")"),21050)</f>
        <v>21050</v>
      </c>
      <c r="N170" s="93">
        <f ca="1">IFERROR(__xludf.DUMMYFUNCTION("IMPORTRANGE(""https://docs.google.com/spreadsheets/d/1MeEWN-I1oV_STSDYn1IFDPWt_1FKiwhDph83XaGc0o0/edit?usp=sharing"",""งบพรบ!CL27"")"),16630)</f>
        <v>16630</v>
      </c>
      <c r="O170" s="93">
        <f t="shared" ca="1" si="85"/>
        <v>79.00237529691212</v>
      </c>
      <c r="P170" s="93">
        <f t="shared" ca="1" si="86"/>
        <v>79.00237529691212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IFERROR(__xludf.DUMMYFUNCTION("IMPORTRANGE(""https://docs.google.com/spreadsheets/d/1MeEWN-I1oV_STSDYn1IFDPWt_1FKiwhDph83XaGc0o0/edit?usp=sharing"",""งบพรบ!CH27"")"),0)</f>
        <v>0</v>
      </c>
      <c r="M173" s="93">
        <f ca="1">IFERROR(__xludf.DUMMYFUNCTION("IMPORTRANGE(""https://docs.google.com/spreadsheets/d/1MeEWN-I1oV_STSDYn1IFDPWt_1FKiwhDph83XaGc0o0/edit?usp=sharing"",""งบพรบ!CK27"")"),0)</f>
        <v>0</v>
      </c>
      <c r="N173" s="93">
        <f ca="1">IFERROR(__xludf.DUMMYFUNCTION("IMPORTRANGE(""https://docs.google.com/spreadsheets/d/1MeEWN-I1oV_STSDYn1IFDPWt_1FKiwhDph83XaGc0o0/edit?usp=sharing"",""งบพรบ!CM27"")"),0)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IFERROR(__xludf.DUMMYFUNCTION("IMPORTRANGE(""https://docs.google.com/spreadsheets/d/1QqKyyYR6Q21VydFLVH3TRQUabQu_ym0Zz7PgGX0-kHA/edit?usp=sharing"",""แผน!Y27"")"),10)</f>
        <v>10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50</v>
      </c>
      <c r="K180" s="254">
        <f ca="1">IF(I180&gt;0,J180*100/I180,0)</f>
        <v>50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665550</v>
      </c>
      <c r="M181" s="155">
        <f t="shared" ca="1" si="92"/>
        <v>312650</v>
      </c>
      <c r="N181" s="155">
        <f t="shared" ca="1" si="92"/>
        <v>159200</v>
      </c>
      <c r="O181" s="155">
        <f t="shared" ref="O181:O189" ca="1" si="93">IF(L181&gt;0,N181*100/L181,0)</f>
        <v>23.920066110735483</v>
      </c>
      <c r="P181" s="155">
        <f t="shared" ref="P181:P189" ca="1" si="94">IF(M181&gt;0,N181*100/M181,0)</f>
        <v>50.919558611866307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665550</v>
      </c>
      <c r="M183" s="93">
        <f t="shared" ca="1" si="95"/>
        <v>312650</v>
      </c>
      <c r="N183" s="93">
        <f t="shared" ca="1" si="95"/>
        <v>159200</v>
      </c>
      <c r="O183" s="93">
        <f t="shared" ca="1" si="93"/>
        <v>23.920066110735483</v>
      </c>
      <c r="P183" s="93">
        <f t="shared" ca="1" si="94"/>
        <v>50.919558611866307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665550</v>
      </c>
      <c r="M184" s="466">
        <f t="shared" ca="1" si="96"/>
        <v>312650</v>
      </c>
      <c r="N184" s="466">
        <f t="shared" ca="1" si="96"/>
        <v>159200</v>
      </c>
      <c r="O184" s="466">
        <f t="shared" ca="1" si="93"/>
        <v>23.920066110735483</v>
      </c>
      <c r="P184" s="466">
        <f t="shared" ca="1" si="94"/>
        <v>50.919558611866307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IFERROR(__xludf.DUMMYFUNCTION("IMPORTRANGE(""https://docs.google.com/spreadsheets/d/1MeEWN-I1oV_STSDYn1IFDPWt_1FKiwhDph83XaGc0o0/edit?usp=sharing"",""งบพรบ!CO27"")"),665550)</f>
        <v>665550</v>
      </c>
      <c r="M186" s="93">
        <f ca="1">IFERROR(__xludf.DUMMYFUNCTION("IMPORTRANGE(""https://docs.google.com/spreadsheets/d/1MeEWN-I1oV_STSDYn1IFDPWt_1FKiwhDph83XaGc0o0/edit?usp=sharing"",""งบพรบ!CT27"")"),312650)</f>
        <v>312650</v>
      </c>
      <c r="N186" s="93">
        <f ca="1">IFERROR(__xludf.DUMMYFUNCTION("IMPORTRANGE(""https://docs.google.com/spreadsheets/d/1MeEWN-I1oV_STSDYn1IFDPWt_1FKiwhDph83XaGc0o0/edit?usp=sharing"",""งบพรบ!CV27"")"),159200)</f>
        <v>159200</v>
      </c>
      <c r="O186" s="93">
        <f t="shared" ca="1" si="93"/>
        <v>23.920066110735483</v>
      </c>
      <c r="P186" s="93">
        <f t="shared" ca="1" si="94"/>
        <v>50.919558611866307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IFERROR(__xludf.DUMMYFUNCTION("IMPORTRANGE(""https://docs.google.com/spreadsheets/d/1MeEWN-I1oV_STSDYn1IFDPWt_1FKiwhDph83XaGc0o0/edit?usp=sharing"",""งบพรบ!CR27"")"),0)</f>
        <v>0</v>
      </c>
      <c r="M189" s="93">
        <f ca="1">IFERROR(__xludf.DUMMYFUNCTION("IMPORTRANGE(""https://docs.google.com/spreadsheets/d/1MeEWN-I1oV_STSDYn1IFDPWt_1FKiwhDph83XaGc0o0/edit?usp=sharing"",""งบพรบ!CU27"")"),0)</f>
        <v>0</v>
      </c>
      <c r="N189" s="93">
        <f ca="1">IFERROR(__xludf.DUMMYFUNCTION("IMPORTRANGE(""https://docs.google.com/spreadsheets/d/1MeEWN-I1oV_STSDYn1IFDPWt_1FKiwhDph83XaGc0o0/edit?usp=sharing"",""งบพรบ!CW27"")"),0)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IFERROR(__xludf.DUMMYFUNCTION("IMPORTRANGE(""https://docs.google.com/spreadsheets/d/1QqKyyYR6Q21VydFLVH3TRQUabQu_ym0Zz7PgGX0-kHA/edit?usp=sharing"",""แผน!AC27"")"),4)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IFERROR(__xludf.DUMMYFUNCTION("IMPORTRANGE(""https://docs.google.com/spreadsheets/d/1QqKyyYR6Q21VydFLVH3TRQUabQu_ym0Zz7PgGX0-kHA/edit?usp=sharing"",""แผน!AE27"")"),2000)</f>
        <v>2000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IFERROR(__xludf.DUMMYFUNCTION("IMPORTRANGE(""https://docs.google.com/spreadsheets/d/1QqKyyYR6Q21VydFLVH3TRQUabQu_ym0Zz7PgGX0-kHA/edit?usp=sharing"",""แผน!AF27"")"),16000)</f>
        <v>16000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IFERROR(__xludf.DUMMYFUNCTION("IMPORTRANGE(""https://docs.google.com/spreadsheets/d/1QqKyyYR6Q21VydFLVH3TRQUabQu_ym0Zz7PgGX0-kHA/edit?usp=sharing"",""แผน!AG27"")"),8000)</f>
        <v>8000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IFERROR(__xludf.DUMMYFUNCTION("IMPORTRANGE(""https://docs.google.com/spreadsheets/d/1QqKyyYR6Q21VydFLVH3TRQUabQu_ym0Zz7PgGX0-kHA/edit?usp=sharing"",""แผน!AH27"")"),0)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IFERROR(__xludf.DUMMYFUNCTION("IMPORTRANGE(""https://docs.google.com/spreadsheets/d/1QqKyyYR6Q21VydFLVH3TRQUabQu_ym0Zz7PgGX0-kHA/edit?usp=sharing"",""แผน!AI27"")"),2)</f>
        <v>2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IFERROR(__xludf.DUMMYFUNCTION("IMPORTRANGE(""https://docs.google.com/spreadsheets/d/1QqKyyYR6Q21VydFLVH3TRQUabQu_ym0Zz7PgGX0-kHA/edit?usp=sharing"",""แผน!AK27"")"),0)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IFERROR(__xludf.DUMMYFUNCTION("IMPORTRANGE(""https://docs.google.com/spreadsheets/d/1QqKyyYR6Q21VydFLVH3TRQUabQu_ym0Zz7PgGX0-kHA/edit?usp=sharing"",""แผน!AL27"")"),0)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IFERROR(__xludf.DUMMYFUNCTION("IMPORTRANGE(""https://docs.google.com/spreadsheets/d/1QqKyyYR6Q21VydFLVH3TRQUabQu_ym0Zz7PgGX0-kHA/edit?usp=sharing"",""แผน!AM27"")"),0)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IFERROR(__xludf.DUMMYFUNCTION("IMPORTRANGE(""https://docs.google.com/spreadsheets/d/1QqKyyYR6Q21VydFLVH3TRQUabQu_ym0Zz7PgGX0-kHA/edit?usp=sharing"",""แผน!AN27"")"),0)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IFERROR(__xludf.DUMMYFUNCTION("IMPORTRANGE(""https://docs.google.com/spreadsheets/d/1QqKyyYR6Q21VydFLVH3TRQUabQu_ym0Zz7PgGX0-kHA/edit?usp=sharing"",""แผน!AN27"")"),0)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IFERROR(__xludf.DUMMYFUNCTION("IMPORTRANGE(""https://docs.google.com/spreadsheets/d/1QqKyyYR6Q21VydFLVH3TRQUabQu_ym0Zz7PgGX0-kHA/edit?usp=sharing"",""แผน!AP27"")"),6000)</f>
        <v>6000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IFERROR(__xludf.DUMMYFUNCTION("IMPORTRANGE(""https://docs.google.com/spreadsheets/d/1QqKyyYR6Q21VydFLVH3TRQUabQu_ym0Zz7PgGX0-kHA/edit?usp=sharing"",""แผน!AQ27"")"),25000)</f>
        <v>25000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IFERROR(__xludf.DUMMYFUNCTION("IMPORTRANGE(""https://docs.google.com/spreadsheets/d/1QqKyyYR6Q21VydFLVH3TRQUabQu_ym0Zz7PgGX0-kHA/edit?usp=sharing"",""แผน!AR27"")"),0)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IFERROR(__xludf.DUMMYFUNCTION("IMPORTRANGE(""https://docs.google.com/spreadsheets/d/1QqKyyYR6Q21VydFLVH3TRQUabQu_ym0Zz7PgGX0-kHA/edit?usp=sharing"",""แผน!AT27"")"),100000)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IFERROR(__xludf.DUMMYFUNCTION("IMPORTRANGE(""https://docs.google.com/spreadsheets/d/1QqKyyYR6Q21VydFLVH3TRQUabQu_ym0Zz7PgGX0-kHA/edit?usp=sharing"",""แผน!AT27"")"),100000)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IFERROR(__xludf.DUMMYFUNCTION("IMPORTRANGE(""https://docs.google.com/spreadsheets/d/1QqKyyYR6Q21VydFLVH3TRQUabQu_ym0Zz7PgGX0-kHA/edit?usp=sharing"",""แผน!AS27"")"),0)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100</v>
      </c>
      <c r="J226" s="841">
        <f t="shared" si="105"/>
        <v>50</v>
      </c>
      <c r="K226" s="842">
        <f t="shared" ca="1" si="104"/>
        <v>50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602550</v>
      </c>
      <c r="M227" s="851"/>
      <c r="N227" s="851">
        <f t="shared" ref="N227:N231" si="107">N238+N249</f>
        <v>159200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416700</v>
      </c>
      <c r="M228" s="93"/>
      <c r="N228" s="93">
        <f t="shared" si="107"/>
        <v>72890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135850</v>
      </c>
      <c r="M229" s="93"/>
      <c r="N229" s="93">
        <f t="shared" si="107"/>
        <v>86310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50000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100</v>
      </c>
      <c r="J233" s="584">
        <f t="shared" si="108"/>
        <v>50</v>
      </c>
      <c r="K233" s="93">
        <f ca="1">IF(I233&gt;0,J233*100/I233,0)</f>
        <v>50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3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351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50</v>
      </c>
      <c r="K237" s="273">
        <f t="shared" ca="1" si="110"/>
        <v>50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602550</v>
      </c>
      <c r="M238" s="155"/>
      <c r="N238" s="155">
        <f>N239+N240+N241+N242</f>
        <v>159200</v>
      </c>
      <c r="O238" s="155">
        <f ca="1">IF(L238&gt;0,N238*100/L238,0)</f>
        <v>26.421043896772051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IFERROR(__xludf.DUMMYFUNCTION("IMPORTRANGE(""https://docs.google.com/spreadsheets/d/1QqKyyYR6Q21VydFLVH3TRQUabQu_ym0Zz7PgGX0-kHA/edit?usp=sharing"",""แผน!AV27"")"),416700)</f>
        <v>416700</v>
      </c>
      <c r="M239" s="322"/>
      <c r="N239" s="341">
        <v>72890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IFERROR(__xludf.DUMMYFUNCTION("IMPORTRANGE(""https://docs.google.com/spreadsheets/d/1QqKyyYR6Q21VydFLVH3TRQUabQu_ym0Zz7PgGX0-kHA/edit?usp=sharing"",""แผน!AW27"")"),135850)</f>
        <v>135850</v>
      </c>
      <c r="M240" s="322"/>
      <c r="N240" s="341">
        <v>86310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IFERROR(__xludf.DUMMYFUNCTION("IMPORTRANGE(""https://docs.google.com/spreadsheets/d/1QqKyyYR6Q21VydFLVH3TRQUabQu_ym0Zz7PgGX0-kHA/edit?usp=sharing"",""แผน!AY27"")"),50000)</f>
        <v>50000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IFERROR(__xludf.DUMMYFUNCTION("IMPORTRANGE(""https://docs.google.com/spreadsheets/d/1QqKyyYR6Q21VydFLVH3TRQUabQu_ym0Zz7PgGX0-kHA/edit?usp=sharing"",""แผน!BE27"")"),100)</f>
        <v>100</v>
      </c>
      <c r="J244" s="215">
        <v>50</v>
      </c>
      <c r="K244" s="466">
        <f ca="1">IF(I244&gt;0,J244*100/I244,0)</f>
        <v>50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153900</v>
      </c>
      <c r="N261" s="155">
        <f t="shared" ca="1" si="116"/>
        <v>67594</v>
      </c>
      <c r="O261" s="155">
        <f t="shared" ref="O261:O269" ca="1" si="117">IF(L261&gt;0,N261*100/L261,0)</f>
        <v>21.602428891019496</v>
      </c>
      <c r="P261" s="155">
        <f t="shared" ref="P261:P269" ca="1" si="118">IF(M261&gt;0,N261*100/M261,0)</f>
        <v>43.920727745289149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312900</v>
      </c>
      <c r="M263" s="93">
        <f t="shared" ca="1" si="119"/>
        <v>153900</v>
      </c>
      <c r="N263" s="93">
        <f t="shared" ca="1" si="119"/>
        <v>67594</v>
      </c>
      <c r="O263" s="93">
        <f t="shared" ca="1" si="117"/>
        <v>21.602428891019496</v>
      </c>
      <c r="P263" s="93">
        <f t="shared" ca="1" si="118"/>
        <v>43.920727745289149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153900</v>
      </c>
      <c r="N264" s="466">
        <f t="shared" ca="1" si="120"/>
        <v>67594</v>
      </c>
      <c r="O264" s="466">
        <f t="shared" ca="1" si="117"/>
        <v>21.602428891019496</v>
      </c>
      <c r="P264" s="466">
        <f t="shared" ca="1" si="118"/>
        <v>43.920727745289149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IFERROR(__xludf.DUMMYFUNCTION("IMPORTRANGE(""https://docs.google.com/spreadsheets/d/1MeEWN-I1oV_STSDYn1IFDPWt_1FKiwhDph83XaGc0o0/edit?usp=sharing"",""งบพรบ!CY27"")"),312900)</f>
        <v>312900</v>
      </c>
      <c r="M266" s="93">
        <f ca="1">IFERROR(__xludf.DUMMYFUNCTION("IMPORTRANGE(""https://docs.google.com/spreadsheets/d/1MeEWN-I1oV_STSDYn1IFDPWt_1FKiwhDph83XaGc0o0/edit?usp=sharing"",""งบพรบ!DD27"")"),153900)</f>
        <v>153900</v>
      </c>
      <c r="N266" s="93">
        <f ca="1">IFERROR(__xludf.DUMMYFUNCTION("IMPORTRANGE(""https://docs.google.com/spreadsheets/d/1MeEWN-I1oV_STSDYn1IFDPWt_1FKiwhDph83XaGc0o0/edit?usp=sharing"",""งบพรบ!DF27"")"),67594)</f>
        <v>67594</v>
      </c>
      <c r="O266" s="93">
        <f t="shared" ca="1" si="117"/>
        <v>21.602428891019496</v>
      </c>
      <c r="P266" s="93">
        <f t="shared" ca="1" si="118"/>
        <v>43.920727745289149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IFERROR(__xludf.DUMMYFUNCTION("IMPORTRANGE(""https://docs.google.com/spreadsheets/d/1MeEWN-I1oV_STSDYn1IFDPWt_1FKiwhDph83XaGc0o0/edit?usp=sharing"",""งบพรบ!DB27"")"),0)</f>
        <v>0</v>
      </c>
      <c r="M269" s="93">
        <f ca="1">IFERROR(__xludf.DUMMYFUNCTION("IMPORTRANGE(""https://docs.google.com/spreadsheets/d/1MeEWN-I1oV_STSDYn1IFDPWt_1FKiwhDph83XaGc0o0/edit?usp=sharing"",""งบพรบ!DE27"")"),0)</f>
        <v>0</v>
      </c>
      <c r="N269" s="93">
        <f ca="1">IFERROR(__xludf.DUMMYFUNCTION("IMPORTRANGE(""https://docs.google.com/spreadsheets/d/1MeEWN-I1oV_STSDYn1IFDPWt_1FKiwhDph83XaGc0o0/edit?usp=sharing"",""งบพรบ!DG27"")"),0)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9.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IFERROR(__xludf.DUMMYFUNCTION("IMPORTRANGE(""https://docs.google.com/spreadsheets/d/1QqKyyYR6Q21VydFLVH3TRQUabQu_ym0Zz7PgGX0-kHA/edit?usp=sharing"",""แผน!EA27"")"),22)</f>
        <v>22</v>
      </c>
      <c r="J271" s="918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3">
        <f t="shared" ref="I276:J276" ca="1" si="124">I287</f>
        <v>0</v>
      </c>
      <c r="J276" s="883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IFERROR(__xludf.DUMMYFUNCTION("IMPORTRANGE(""https://docs.google.com/spreadsheets/d/1MeEWN-I1oV_STSDYn1IFDPWt_1FKiwhDph83XaGc0o0/edit?usp=sharing"",""งบพรบ!DI27"")"),0)</f>
        <v>0</v>
      </c>
      <c r="M282" s="93">
        <f ca="1">IFERROR(__xludf.DUMMYFUNCTION("IMPORTRANGE(""https://docs.google.com/spreadsheets/d/1MeEWN-I1oV_STSDYn1IFDPWt_1FKiwhDph83XaGc0o0/edit?usp=sharing"",""งบพรบ!DN27"")"),0)</f>
        <v>0</v>
      </c>
      <c r="N282" s="93">
        <f ca="1">IFERROR(__xludf.DUMMYFUNCTION("IMPORTRANGE(""https://docs.google.com/spreadsheets/d/1MeEWN-I1oV_STSDYn1IFDPWt_1FKiwhDph83XaGc0o0/edit?usp=sharing"",""งบพรบ!DP27"")"),0)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IFERROR(__xludf.DUMMYFUNCTION("IMPORTRANGE(""https://docs.google.com/spreadsheets/d/1MeEWN-I1oV_STSDYn1IFDPWt_1FKiwhDph83XaGc0o0/edit?usp=sharing"",""งบพรบ!DL27"")"),0)</f>
        <v>0</v>
      </c>
      <c r="M285" s="93">
        <f ca="1">IFERROR(__xludf.DUMMYFUNCTION("IMPORTRANGE(""https://docs.google.com/spreadsheets/d/1MeEWN-I1oV_STSDYn1IFDPWt_1FKiwhDph83XaGc0o0/edit?usp=sharing"",""งบพรบ!DO27"")"),0)</f>
        <v>0</v>
      </c>
      <c r="N285" s="93">
        <f ca="1">IFERROR(__xludf.DUMMYFUNCTION("IMPORTRANGE(""https://docs.google.com/spreadsheets/d/1MeEWN-I1oV_STSDYn1IFDPWt_1FKiwhDph83XaGc0o0/edit?usp=sharing"",""งบพรบ!DQ27"")"),0)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IFERROR(__xludf.DUMMYFUNCTION("IMPORTRANGE(""https://docs.google.com/spreadsheets/d/1QqKyyYR6Q21VydFLVH3TRQUabQu_ym0Zz7PgGX0-kHA/edit?usp=sharing"",""แผน!EC27"")"),0)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IFERROR(__xludf.DUMMYFUNCTION("IMPORTRANGE(""https://docs.google.com/spreadsheets/d/1QqKyyYR6Q21VydFLVH3TRQUabQu_ym0Zz7PgGX0-kHA/edit?usp=sharing"",""แผน!EB27"")"),0)</f>
        <v>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3" t="s">
        <v>348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698" t="s">
        <v>348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IFERROR(__xludf.DUMMYFUNCTION("IMPORTRANGE(""https://docs.google.com/spreadsheets/d/1QqKyyYR6Q21VydFLVH3TRQUabQu_ym0Zz7PgGX0-kHA/edit?usp=sharing"",""แผน!EB27"")"),0)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IFERROR(__xludf.DUMMYFUNCTION("IMPORTRANGE(""https://docs.google.com/spreadsheets/d/1MeEWN-I1oV_STSDYn1IFDPWt_1FKiwhDph83XaGc0o0/edit?usp=sharing"",""งบพรบ!DS27"")"),0)</f>
        <v>0</v>
      </c>
      <c r="M303" s="93">
        <f ca="1">IFERROR(__xludf.DUMMYFUNCTION("IMPORTRANGE(""https://docs.google.com/spreadsheets/d/1MeEWN-I1oV_STSDYn1IFDPWt_1FKiwhDph83XaGc0o0/edit?usp=sharing"",""งบพรบ!DX27"")"),0)</f>
        <v>0</v>
      </c>
      <c r="N303" s="93">
        <f ca="1">IFERROR(__xludf.DUMMYFUNCTION("IMPORTRANGE(""https://docs.google.com/spreadsheets/d/1MeEWN-I1oV_STSDYn1IFDPWt_1FKiwhDph83XaGc0o0/edit?usp=sharing"",""งบพรบ!DZ27"")"),0)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IFERROR(__xludf.DUMMYFUNCTION("IMPORTRANGE(""https://docs.google.com/spreadsheets/d/1MeEWN-I1oV_STSDYn1IFDPWt_1FKiwhDph83XaGc0o0/edit?usp=sharing"",""งบพรบ!DV27"")"),0)</f>
        <v>0</v>
      </c>
      <c r="M306" s="93">
        <f ca="1">IFERROR(__xludf.DUMMYFUNCTION("IMPORTRANGE(""https://docs.google.com/spreadsheets/d/1MeEWN-I1oV_STSDYn1IFDPWt_1FKiwhDph83XaGc0o0/edit?usp=sharing"",""งบพรบ!DY27"")"),0)</f>
        <v>0</v>
      </c>
      <c r="N306" s="93">
        <f ca="1">IFERROR(__xludf.DUMMYFUNCTION("IMPORTRANGE(""https://docs.google.com/spreadsheets/d/1MeEWN-I1oV_STSDYn1IFDPWt_1FKiwhDph83XaGc0o0/edit?usp=sharing"",""งบพรบ!EA27"")"),0)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IFERROR(__xludf.DUMMYFUNCTION("IMPORTRANGE(""https://docs.google.com/spreadsheets/d/1QqKyyYR6Q21VydFLVH3TRQUabQu_ym0Zz7PgGX0-kHA/edit?usp=sharing"",""แผน!ED27"")"),0)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IFERROR(__xludf.DUMMYFUNCTION("IMPORTRANGE(""https://docs.google.com/spreadsheets/d/1QqKyyYR6Q21VydFLVH3TRQUabQu_ym0Zz7PgGX0-kHA/edit?usp=sharing"",""แผน!ED27"")"),0)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IFERROR(__xludf.DUMMYFUNCTION("IMPORTRANGE(""https://docs.google.com/spreadsheets/d/1QqKyyYR6Q21VydFLVH3TRQUabQu_ym0Zz7PgGX0-kHA/edit?usp=sharing"",""แผน!ED27"")"),0)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IFERROR(__xludf.DUMMYFUNCTION("IMPORTRANGE(""https://docs.google.com/spreadsheets/d/1QqKyyYR6Q21VydFLVH3TRQUabQu_ym0Zz7PgGX0-kHA/edit?usp=sharing"",""แผน!EE27"")"),0)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IFERROR(__xludf.DUMMYFUNCTION("IMPORTRANGE(""https://docs.google.com/spreadsheets/d/1MeEWN-I1oV_STSDYn1IFDPWt_1FKiwhDph83XaGc0o0/edit?usp=sharing"",""งบพรบ!EC27"")"),0)</f>
        <v>0</v>
      </c>
      <c r="M320" s="93">
        <f ca="1">IFERROR(__xludf.DUMMYFUNCTION("IMPORTRANGE(""https://docs.google.com/spreadsheets/d/1MeEWN-I1oV_STSDYn1IFDPWt_1FKiwhDph83XaGc0o0/edit?usp=sharing"",""งบพรบ!EH27"")"),0)</f>
        <v>0</v>
      </c>
      <c r="N320" s="93">
        <f ca="1">IFERROR(__xludf.DUMMYFUNCTION("IMPORTRANGE(""https://docs.google.com/spreadsheets/d/1MeEWN-I1oV_STSDYn1IFDPWt_1FKiwhDph83XaGc0o0/edit?usp=sharing"",""งบพรบ!EJ27"")"),0)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IFERROR(__xludf.DUMMYFUNCTION("IMPORTRANGE(""https://docs.google.com/spreadsheets/d/1MeEWN-I1oV_STSDYn1IFDPWt_1FKiwhDph83XaGc0o0/edit?usp=sharing"",""งบพรบ!EF27"")"),0)</f>
        <v>0</v>
      </c>
      <c r="M323" s="93">
        <f ca="1">IFERROR(__xludf.DUMMYFUNCTION("IMPORTRANGE(""https://docs.google.com/spreadsheets/d/1MeEWN-I1oV_STSDYn1IFDPWt_1FKiwhDph83XaGc0o0/edit?usp=sharing"",""งบพรบ!EI27"")"),0)</f>
        <v>0</v>
      </c>
      <c r="N323" s="93">
        <f ca="1">IFERROR(__xludf.DUMMYFUNCTION("IMPORTRANGE(""https://docs.google.com/spreadsheets/d/1MeEWN-I1oV_STSDYn1IFDPWt_1FKiwhDph83XaGc0o0/edit?usp=sharing"",""งบพรบ!EK27"")"),0)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IFERROR(__xludf.DUMMYFUNCTION("IMPORTRANGE(""https://docs.google.com/spreadsheets/d/1QqKyyYR6Q21VydFLVH3TRQUabQu_ym0Zz7PgGX0-kHA/edit?usp=sharing"",""แผน!EG27"")"),700)</f>
        <v>700</v>
      </c>
      <c r="J327" s="413">
        <f ca="1">J338+J341+J342+J343</f>
        <v>541</v>
      </c>
      <c r="K327" s="414">
        <f ca="1">IF(I327&gt;0,J327*100/I327,0)</f>
        <v>77.285714285714292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82500</v>
      </c>
      <c r="N328" s="155">
        <f t="shared" ca="1" si="149"/>
        <v>40398</v>
      </c>
      <c r="O328" s="155">
        <f t="shared" ref="O328:O336" ca="1" si="150">IF(L328&gt;0,N328*100/L328,0)</f>
        <v>24.483636363636364</v>
      </c>
      <c r="P328" s="155">
        <f t="shared" ref="P328:P336" ca="1" si="151">IF(M328&gt;0,N328*100/M328,0)</f>
        <v>48.967272727272729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165000</v>
      </c>
      <c r="M330" s="93">
        <f t="shared" ca="1" si="152"/>
        <v>82500</v>
      </c>
      <c r="N330" s="93">
        <f t="shared" ca="1" si="152"/>
        <v>40398</v>
      </c>
      <c r="O330" s="93">
        <f t="shared" ca="1" si="150"/>
        <v>24.483636363636364</v>
      </c>
      <c r="P330" s="93">
        <f t="shared" ca="1" si="151"/>
        <v>48.967272727272729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82500</v>
      </c>
      <c r="N331" s="466">
        <f t="shared" ca="1" si="153"/>
        <v>40398</v>
      </c>
      <c r="O331" s="466">
        <f t="shared" ca="1" si="150"/>
        <v>24.483636363636364</v>
      </c>
      <c r="P331" s="466">
        <f t="shared" ca="1" si="151"/>
        <v>48.967272727272729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IFERROR(__xludf.DUMMYFUNCTION("IMPORTRANGE(""https://docs.google.com/spreadsheets/d/1MeEWN-I1oV_STSDYn1IFDPWt_1FKiwhDph83XaGc0o0/edit?usp=sharing"",""งบพรบ!EM27"")"),165000)</f>
        <v>165000</v>
      </c>
      <c r="M333" s="93">
        <f ca="1">IFERROR(__xludf.DUMMYFUNCTION("IMPORTRANGE(""https://docs.google.com/spreadsheets/d/1MeEWN-I1oV_STSDYn1IFDPWt_1FKiwhDph83XaGc0o0/edit?usp=sharing"",""งบพรบ!ER27"")"),82500)</f>
        <v>82500</v>
      </c>
      <c r="N333" s="93">
        <f ca="1">IFERROR(__xludf.DUMMYFUNCTION("IMPORTRANGE(""https://docs.google.com/spreadsheets/d/1MeEWN-I1oV_STSDYn1IFDPWt_1FKiwhDph83XaGc0o0/edit?usp=sharing"",""งบพรบ!ET27"")"),40398)</f>
        <v>40398</v>
      </c>
      <c r="O333" s="93">
        <f t="shared" ca="1" si="150"/>
        <v>24.483636363636364</v>
      </c>
      <c r="P333" s="93">
        <f t="shared" ca="1" si="151"/>
        <v>48.967272727272729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IFERROR(__xludf.DUMMYFUNCTION("IMPORTRANGE(""https://docs.google.com/spreadsheets/d/1MeEWN-I1oV_STSDYn1IFDPWt_1FKiwhDph83XaGc0o0/edit?usp=sharing"",""งบพรบ!EP27"")"),0)</f>
        <v>0</v>
      </c>
      <c r="M336" s="93">
        <f ca="1">IFERROR(__xludf.DUMMYFUNCTION("IMPORTRANGE(""https://docs.google.com/spreadsheets/d/1MeEWN-I1oV_STSDYn1IFDPWt_1FKiwhDph83XaGc0o0/edit?usp=sharing"",""งบพรบ!ES27"")"),0)</f>
        <v>0</v>
      </c>
      <c r="N336" s="93">
        <f ca="1">IFERROR(__xludf.DUMMYFUNCTION("IMPORTRANGE(""https://docs.google.com/spreadsheets/d/1MeEWN-I1oV_STSDYn1IFDPWt_1FKiwhDph83XaGc0o0/edit?usp=sharing"",""งบพรบ!EU27"")"),0)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IFERROR(__xludf.DUMMYFUNCTION("IMPORTRANGE(""https://docs.google.com/spreadsheets/d/1QqKyyYR6Q21VydFLVH3TRQUabQu_ym0Zz7PgGX0-kHA/edit?usp=sharing"",""แผน!EG27"")"),700)</f>
        <v>700</v>
      </c>
      <c r="J338" s="270">
        <f ca="1">IFERROR(__xludf.DUMMYFUNCTION("IMPORTRANGE(""https://docs.google.com/spreadsheets/d/1kVcqe37tkHyjCSG3S0O1AXqVkqjo8mSIZil3BcpIysc/edit?usp=sharing"",""ศูนย์!D27"")"),331)</f>
        <v>331</v>
      </c>
      <c r="K338" s="466">
        <f ca="1">IF(I338&gt;0,J338*100/I338,0)</f>
        <v>47.285714285714285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IFERROR(__xludf.DUMMYFUNCTION("IMPORTRANGE(""https://docs.google.com/spreadsheets/d/1QqKyyYR6Q21VydFLVH3TRQUabQu_ym0Zz7PgGX0-kHA/edit?usp=sharing"",""แผน!EH27"")"),6)</f>
        <v>6</v>
      </c>
      <c r="J340" s="270">
        <f ca="1">IFERROR(__xludf.DUMMYFUNCTION("IMPORTRANGE(""https://docs.google.com/spreadsheets/d/1kVcqe37tkHyjCSG3S0O1AXqVkqjo8mSIZil3BcpIysc/edit?usp=sharing"",""ศูนย์!E27"")"),6)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IFERROR(__xludf.DUMMYFUNCTION("IMPORTRANGE(""https://docs.google.com/spreadsheets/d/1kVcqe37tkHyjCSG3S0O1AXqVkqjo8mSIZil3BcpIysc/edit?usp=sharing"",""ศูนย์!F27"")"),210)</f>
        <v>210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364830</v>
      </c>
      <c r="M345" s="155">
        <f t="shared" ca="1" si="155"/>
        <v>182420</v>
      </c>
      <c r="N345" s="155">
        <f t="shared" ca="1" si="155"/>
        <v>89218.38</v>
      </c>
      <c r="O345" s="155">
        <f t="shared" ref="O345:O353" ca="1" si="156">IF(L345&gt;0,N345*100/L345,0)</f>
        <v>24.454781679138229</v>
      </c>
      <c r="P345" s="155">
        <f t="shared" ref="P345:P353" ca="1" si="157">IF(M345&gt;0,N345*100/M345,0)</f>
        <v>48.908222782589625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364830</v>
      </c>
      <c r="M347" s="93">
        <f t="shared" ca="1" si="158"/>
        <v>182420</v>
      </c>
      <c r="N347" s="93">
        <f t="shared" ca="1" si="158"/>
        <v>89218.38</v>
      </c>
      <c r="O347" s="93">
        <f t="shared" ca="1" si="156"/>
        <v>24.454781679138229</v>
      </c>
      <c r="P347" s="93">
        <f t="shared" ca="1" si="157"/>
        <v>48.908222782589625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364830</v>
      </c>
      <c r="M348" s="466">
        <f t="shared" ca="1" si="159"/>
        <v>182420</v>
      </c>
      <c r="N348" s="466">
        <f t="shared" ca="1" si="159"/>
        <v>89218.38</v>
      </c>
      <c r="O348" s="466">
        <f t="shared" ca="1" si="156"/>
        <v>24.454781679138229</v>
      </c>
      <c r="P348" s="466">
        <f t="shared" ca="1" si="157"/>
        <v>48.908222782589625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IFERROR(__xludf.DUMMYFUNCTION("IMPORTRANGE(""https://docs.google.com/spreadsheets/d/1MeEWN-I1oV_STSDYn1IFDPWt_1FKiwhDph83XaGc0o0/edit?usp=sharing"",""งบพรบ!EW27"")"),364830)</f>
        <v>364830</v>
      </c>
      <c r="M350" s="93">
        <f ca="1">IFERROR(__xludf.DUMMYFUNCTION("IMPORTRANGE(""https://docs.google.com/spreadsheets/d/1MeEWN-I1oV_STSDYn1IFDPWt_1FKiwhDph83XaGc0o0/edit?usp=sharing"",""งบพรบ!FB27"")"),182420)</f>
        <v>182420</v>
      </c>
      <c r="N350" s="93">
        <f ca="1">IFERROR(__xludf.DUMMYFUNCTION("IMPORTRANGE(""https://docs.google.com/spreadsheets/d/1MeEWN-I1oV_STSDYn1IFDPWt_1FKiwhDph83XaGc0o0/edit?usp=sharing"",""งบพรบ!FD27"")"),89218.38)</f>
        <v>89218.38</v>
      </c>
      <c r="O350" s="93">
        <f t="shared" ca="1" si="156"/>
        <v>24.454781679138229</v>
      </c>
      <c r="P350" s="93">
        <f t="shared" ca="1" si="157"/>
        <v>48.908222782589625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0</v>
      </c>
      <c r="M351" s="466">
        <f t="shared" ca="1" si="160"/>
        <v>0</v>
      </c>
      <c r="N351" s="466">
        <f t="shared" ca="1" si="160"/>
        <v>0</v>
      </c>
      <c r="O351" s="466">
        <f t="shared" ca="1" si="156"/>
        <v>0</v>
      </c>
      <c r="P351" s="466">
        <f t="shared" ca="1" si="157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IFERROR(__xludf.DUMMYFUNCTION("IMPORTRANGE(""https://docs.google.com/spreadsheets/d/1MeEWN-I1oV_STSDYn1IFDPWt_1FKiwhDph83XaGc0o0/edit?usp=sharing"",""งบพรบ!EZ27"")"),0)</f>
        <v>0</v>
      </c>
      <c r="M353" s="93">
        <f ca="1">IFERROR(__xludf.DUMMYFUNCTION("IMPORTRANGE(""https://docs.google.com/spreadsheets/d/1MeEWN-I1oV_STSDYn1IFDPWt_1FKiwhDph83XaGc0o0/edit?usp=sharing"",""งบพรบ!FC27"")"),0)</f>
        <v>0</v>
      </c>
      <c r="N353" s="93">
        <f ca="1">IFERROR(__xludf.DUMMYFUNCTION("IMPORTRANGE(""https://docs.google.com/spreadsheets/d/1MeEWN-I1oV_STSDYn1IFDPWt_1FKiwhDph83XaGc0o0/edit?usp=sharing"",""งบพรบ!FE27"")"),0)</f>
        <v>0</v>
      </c>
      <c r="O353" s="93">
        <f t="shared" ca="1" si="156"/>
        <v>0</v>
      </c>
      <c r="P353" s="93">
        <f t="shared" ca="1" si="157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IFERROR(__xludf.DUMMYFUNCTION("IMPORTRANGE(""https://docs.google.com/spreadsheets/d/1QqKyyYR6Q21VydFLVH3TRQUabQu_ym0Zz7PgGX0-kHA/edit?usp=sharing"",""แผน!EP27"")"),59)</f>
        <v>59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IFERROR(__xludf.DUMMYFUNCTION("IMPORTRANGE(""https://docs.google.com/spreadsheets/d/1XWAQStnk-4SwqDmLtmXYiTMKHgktTP8We1SCoS47DrQ/edit?usp=sharing"",""จัดที่ดิน!W27"")"),61)</f>
        <v>61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IFERROR(__xludf.DUMMYFUNCTION("IMPORTRANGE(""https://docs.google.com/spreadsheets/d/1QqKyyYR6Q21VydFLVH3TRQUabQu_ym0Zz7PgGX0-kHA/edit?usp=sharing"",""แผน!EO27"")"),540)</f>
        <v>540</v>
      </c>
      <c r="J359" s="270">
        <f ca="1">IFERROR(__xludf.DUMMYFUNCTION("IMPORTRANGE(""https://docs.google.com/spreadsheets/d/1XWAQStnk-4SwqDmLtmXYiTMKHgktTP8We1SCoS47DrQ/edit?usp=sharing"",""จัดที่ดิน!X27"")"),288.469999999999)</f>
        <v>288.469999999999</v>
      </c>
      <c r="K359" s="466">
        <f t="shared" ca="1" si="161"/>
        <v>53.420370370370186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IFERROR(__xludf.DUMMYFUNCTION("IMPORTRANGE(""https://docs.google.com/spreadsheets/d/1QqKyyYR6Q21VydFLVH3TRQUabQu_ym0Zz7PgGX0-kHA/edit?usp=sharing"",""แผน!EP27"")"),59)</f>
        <v>59</v>
      </c>
      <c r="J360" s="270">
        <f ca="1">IFERROR(__xludf.DUMMYFUNCTION("IMPORTRANGE(""https://docs.google.com/spreadsheets/d/1XWAQStnk-4SwqDmLtmXYiTMKHgktTP8We1SCoS47DrQ/edit?usp=sharing"",""จัดที่ดิน!Y27"")"),11)</f>
        <v>11</v>
      </c>
      <c r="K360" s="466">
        <f t="shared" ca="1" si="161"/>
        <v>18.64406779661017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IFERROR(__xludf.DUMMYFUNCTION("IMPORTRANGE(""https://docs.google.com/spreadsheets/d/1XWAQStnk-4SwqDmLtmXYiTMKHgktTP8We1SCoS47DrQ/edit?usp=sharing"",""จัดที่ดิน!Z27"")"),41.12)</f>
        <v>41.12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IFERROR(__xludf.DUMMYFUNCTION("IMPORTRANGE(""https://docs.google.com/spreadsheets/d/1QqKyyYR6Q21VydFLVH3TRQUabQu_ym0Zz7PgGX0-kHA/edit?usp=sharing"",""แผน!EP27"")"),59)</f>
        <v>59</v>
      </c>
      <c r="J362" s="270">
        <f ca="1">IFERROR(__xludf.DUMMYFUNCTION("IMPORTRANGE(""https://docs.google.com/spreadsheets/d/1XWAQStnk-4SwqDmLtmXYiTMKHgktTP8We1SCoS47DrQ/edit?usp=sharing"",""จัดที่ดิน!AA27"")"),0)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IFERROR(__xludf.DUMMYFUNCTION("IMPORTRANGE(""https://docs.google.com/spreadsheets/d/1XWAQStnk-4SwqDmLtmXYiTMKHgktTP8We1SCoS47DrQ/edit?usp=sharing"",""จัดที่ดิน!AB27"")"),0)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159</v>
      </c>
      <c r="J364" s="447">
        <f t="shared" ca="1" si="162"/>
        <v>7</v>
      </c>
      <c r="K364" s="448">
        <f t="shared" ca="1" si="161"/>
        <v>4.4025157232704402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IFERROR(__xludf.DUMMYFUNCTION("IMPORTRANGE(""https://docs.google.com/spreadsheets/d/1QqKyyYR6Q21VydFLVH3TRQUabQu_ym0Zz7PgGX0-kHA/edit?usp=sharing"",""แผน!EJ27"")"),40)</f>
        <v>40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IFERROR(__xludf.DUMMYFUNCTION("IMPORTRANGE(""https://docs.google.com/spreadsheets/d/1XWAQStnk-4SwqDmLtmXYiTMKHgktTP8We1SCoS47DrQ/edit?usp=sharing"",""จัดที่ดิน!E27"")"),58)</f>
        <v>58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IFERROR(__xludf.DUMMYFUNCTION("IMPORTRANGE(""https://docs.google.com/spreadsheets/d/1QqKyyYR6Q21VydFLVH3TRQUabQu_ym0Zz7PgGX0-kHA/edit?usp=sharing"",""แผน!EI27"")"),400)</f>
        <v>400</v>
      </c>
      <c r="J369" s="270">
        <f ca="1">IFERROR(__xludf.DUMMYFUNCTION("IMPORTRANGE(""https://docs.google.com/spreadsheets/d/1XWAQStnk-4SwqDmLtmXYiTMKHgktTP8We1SCoS47DrQ/edit?usp=sharing"",""จัดที่ดิน!F27"")"),241.76)</f>
        <v>241.76</v>
      </c>
      <c r="K369" s="466">
        <f t="shared" ca="1" si="163"/>
        <v>60.44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IFERROR(__xludf.DUMMYFUNCTION("IMPORTRANGE(""https://docs.google.com/spreadsheets/d/1QqKyyYR6Q21VydFLVH3TRQUabQu_ym0Zz7PgGX0-kHA/edit?usp=sharing"",""แผน!EJ27"")"),40)</f>
        <v>40</v>
      </c>
      <c r="J370" s="270">
        <f ca="1">IFERROR(__xludf.DUMMYFUNCTION("IMPORTRANGE(""https://docs.google.com/spreadsheets/d/1XWAQStnk-4SwqDmLtmXYiTMKHgktTP8We1SCoS47DrQ/edit?usp=sharing"",""จัดที่ดิน!G27"")"),11)</f>
        <v>11</v>
      </c>
      <c r="K370" s="466">
        <f t="shared" ca="1" si="163"/>
        <v>27.5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IFERROR(__xludf.DUMMYFUNCTION("IMPORTRANGE(""https://docs.google.com/spreadsheets/d/1XWAQStnk-4SwqDmLtmXYiTMKHgktTP8We1SCoS47DrQ/edit?usp=sharing"",""จัดที่ดิน!H27"")"),41.12)</f>
        <v>41.12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IFERROR(__xludf.DUMMYFUNCTION("IMPORTRANGE(""https://docs.google.com/spreadsheets/d/1QqKyyYR6Q21VydFLVH3TRQUabQu_ym0Zz7PgGX0-kHA/edit?usp=sharing"",""แผน!EJ27"")"),40)</f>
        <v>40</v>
      </c>
      <c r="J372" s="270">
        <f ca="1">IFERROR(__xludf.DUMMYFUNCTION("IMPORTRANGE(""https://docs.google.com/spreadsheets/d/1XWAQStnk-4SwqDmLtmXYiTMKHgktTP8We1SCoS47DrQ/edit?usp=sharing"",""จัดที่ดิน!I27"")"),0)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IFERROR(__xludf.DUMMYFUNCTION("IMPORTRANGE(""https://docs.google.com/spreadsheets/d/1XWAQStnk-4SwqDmLtmXYiTMKHgktTP8We1SCoS47DrQ/edit?usp=sharing"",""จัดที่ดิน!J27"")"),0)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IFERROR(__xludf.DUMMYFUNCTION("IMPORTRANGE(""https://docs.google.com/spreadsheets/d/1QqKyyYR6Q21VydFLVH3TRQUabQu_ym0Zz7PgGX0-kHA/edit?usp=sharing"",""แผน!EU27"")"),119)</f>
        <v>119</v>
      </c>
      <c r="J374" s="459">
        <f ca="1">J381</f>
        <v>7</v>
      </c>
      <c r="K374" s="460">
        <f t="shared" ca="1" si="163"/>
        <v>5.882352941176471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IFERROR(__xludf.DUMMYFUNCTION("IMPORTRANGE(""https://docs.google.com/spreadsheets/d/1XWAQStnk-4SwqDmLtmXYiTMKHgktTP8We1SCoS47DrQ/edit?usp=sharing"",""จัดที่ดิน!AH27"")"),3)</f>
        <v>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IFERROR(__xludf.DUMMYFUNCTION("IMPORTRANGE(""https://docs.google.com/spreadsheets/d/1QqKyyYR6Q21VydFLVH3TRQUabQu_ym0Zz7PgGX0-kHA/edit?usp=sharing"",""แผน!ET27"")"),140)</f>
        <v>140</v>
      </c>
      <c r="J378" s="270">
        <f ca="1">IFERROR(__xludf.DUMMYFUNCTION("IMPORTRANGE(""https://docs.google.com/spreadsheets/d/1XWAQStnk-4SwqDmLtmXYiTMKHgktTP8We1SCoS47DrQ/edit?usp=sharing"",""จัดที่ดิน!AI27"")"),46.71)</f>
        <v>46.71</v>
      </c>
      <c r="K378" s="466">
        <f t="shared" ca="1" si="164"/>
        <v>33.364285714285714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IFERROR(__xludf.DUMMYFUNCTION("IMPORTRANGE(""https://docs.google.com/spreadsheets/d/1QqKyyYR6Q21VydFLVH3TRQUabQu_ym0Zz7PgGX0-kHA/edit?usp=sharing"",""แผน!EU27"")"),119)</f>
        <v>119</v>
      </c>
      <c r="J379" s="270">
        <f ca="1">IFERROR(__xludf.DUMMYFUNCTION("IMPORTRANGE(""https://docs.google.com/spreadsheets/d/1XWAQStnk-4SwqDmLtmXYiTMKHgktTP8We1SCoS47DrQ/edit?usp=sharing"",""จัดที่ดิน!AJ27"")"),7)</f>
        <v>7</v>
      </c>
      <c r="K379" s="466">
        <f t="shared" ca="1" si="164"/>
        <v>5.882352941176471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IFERROR(__xludf.DUMMYFUNCTION("IMPORTRANGE(""https://docs.google.com/spreadsheets/d/1XWAQStnk-4SwqDmLtmXYiTMKHgktTP8We1SCoS47DrQ/edit?usp=sharing"",""จัดที่ดิน!AK27"")"),18.03)</f>
        <v>18.03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IFERROR(__xludf.DUMMYFUNCTION("IMPORTRANGE(""https://docs.google.com/spreadsheets/d/1QqKyyYR6Q21VydFLVH3TRQUabQu_ym0Zz7PgGX0-kHA/edit?usp=sharing"",""แผน!EU27"")"),119)</f>
        <v>119</v>
      </c>
      <c r="J381" s="270">
        <f ca="1">IFERROR(__xludf.DUMMYFUNCTION("IMPORTRANGE(""https://docs.google.com/spreadsheets/d/1XWAQStnk-4SwqDmLtmXYiTMKHgktTP8We1SCoS47DrQ/edit?usp=sharing"",""จัดที่ดิน!AL27"")"),7)</f>
        <v>7</v>
      </c>
      <c r="K381" s="466">
        <f t="shared" ca="1" si="164"/>
        <v>5.882352941176471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IFERROR(__xludf.DUMMYFUNCTION("IMPORTRANGE(""https://docs.google.com/spreadsheets/d/1XWAQStnk-4SwqDmLtmXYiTMKHgktTP8We1SCoS47DrQ/edit?usp=sharing"",""จัดที่ดิน!AM27"")"),18.03)</f>
        <v>18.03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IFERROR(__xludf.DUMMYFUNCTION("IMPORTRANGE(""https://docs.google.com/spreadsheets/d/1QqKyyYR6Q21VydFLVH3TRQUabQu_ym0Zz7PgGX0-kHA/edit?usp=sharing"",""แผน!EW27"")"),20)</f>
        <v>20</v>
      </c>
      <c r="J385" s="469">
        <f ca="1">IFERROR(__xludf.DUMMYFUNCTION("IMPORTRANGE(""https://docs.google.com/spreadsheets/d/1XWAQStnk-4SwqDmLtmXYiTMKHgktTP8We1SCoS47DrQ/edit?usp=sharing"",""จัดที่ดิน!AP27"")"),0)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IFERROR(__xludf.DUMMYFUNCTION("IMPORTRANGE(""https://docs.google.com/spreadsheets/d/1MeEWN-I1oV_STSDYn1IFDPWt_1FKiwhDph83XaGc0o0/edit?usp=sharing"",""งบพรบ!FG27"")"),0)</f>
        <v>0</v>
      </c>
      <c r="M394" s="93">
        <f ca="1">IFERROR(__xludf.DUMMYFUNCTION("IMPORTRANGE(""https://docs.google.com/spreadsheets/d/1MeEWN-I1oV_STSDYn1IFDPWt_1FKiwhDph83XaGc0o0/edit?usp=sharing"",""งบพรบ!FL27"")"),0)</f>
        <v>0</v>
      </c>
      <c r="N394" s="93">
        <f ca="1">IFERROR(__xludf.DUMMYFUNCTION("IMPORTRANGE(""https://docs.google.com/spreadsheets/d/1MeEWN-I1oV_STSDYn1IFDPWt_1FKiwhDph83XaGc0o0/edit?usp=sharing"",""งบพรบ!FN27"")"),0)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IFERROR(__xludf.DUMMYFUNCTION("IMPORTRANGE(""https://docs.google.com/spreadsheets/d/1MeEWN-I1oV_STSDYn1IFDPWt_1FKiwhDph83XaGc0o0/edit?usp=sharing"",""งบพรบ!FJ27"")"),0)</f>
        <v>0</v>
      </c>
      <c r="M397" s="93">
        <f ca="1">IFERROR(__xludf.DUMMYFUNCTION("IMPORTRANGE(""https://docs.google.com/spreadsheets/d/1MeEWN-I1oV_STSDYn1IFDPWt_1FKiwhDph83XaGc0o0/edit?usp=sharing"",""งบพรบ!FM27"")"),0)</f>
        <v>0</v>
      </c>
      <c r="N397" s="93">
        <f ca="1">IFERROR(__xludf.DUMMYFUNCTION("IMPORTRANGE(""https://docs.google.com/spreadsheets/d/1MeEWN-I1oV_STSDYn1IFDPWt_1FKiwhDph83XaGc0o0/edit?usp=sharing"",""งบพรบ!FO27"")"),0)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IFERROR(__xludf.DUMMYFUNCTION("IMPORTRANGE(""https://docs.google.com/spreadsheets/d/1MeEWN-I1oV_STSDYn1IFDPWt_1FKiwhDph83XaGc0o0/edit?usp=sharing"",""งบพรบ!FQ27"")"),0)</f>
        <v>0</v>
      </c>
      <c r="M407" s="93">
        <f ca="1">IFERROR(__xludf.DUMMYFUNCTION("IMPORTRANGE(""https://docs.google.com/spreadsheets/d/1MeEWN-I1oV_STSDYn1IFDPWt_1FKiwhDph83XaGc0o0/edit?usp=sharing"",""งบพรบ!FV27"")"),0)</f>
        <v>0</v>
      </c>
      <c r="N407" s="93">
        <f ca="1">IFERROR(__xludf.DUMMYFUNCTION("IMPORTRANGE(""https://docs.google.com/spreadsheets/d/1MeEWN-I1oV_STSDYn1IFDPWt_1FKiwhDph83XaGc0o0/edit?usp=sharing"",""งบพรบ!FX27"")"),0)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IFERROR(__xludf.DUMMYFUNCTION("IMPORTRANGE(""https://docs.google.com/spreadsheets/d/1MeEWN-I1oV_STSDYn1IFDPWt_1FKiwhDph83XaGc0o0/edit?usp=sharing"",""งบพรบ!FT27"")"),0)</f>
        <v>0</v>
      </c>
      <c r="M410" s="93">
        <f ca="1">IFERROR(__xludf.DUMMYFUNCTION("IMPORTRANGE(""https://docs.google.com/spreadsheets/d/1MeEWN-I1oV_STSDYn1IFDPWt_1FKiwhDph83XaGc0o0/edit?usp=sharing"",""งบพรบ!FW27"")"),0)</f>
        <v>0</v>
      </c>
      <c r="N410" s="93">
        <f ca="1">IFERROR(__xludf.DUMMYFUNCTION("IMPORTRANGE(""https://docs.google.com/spreadsheets/d/1MeEWN-I1oV_STSDYn1IFDPWt_1FKiwhDph83XaGc0o0/edit?usp=sharing"",""งบพรบ!FY27"")"),0)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1321279</v>
      </c>
      <c r="M414" s="517">
        <f t="shared" si="181"/>
        <v>0</v>
      </c>
      <c r="N414" s="517">
        <f t="shared" si="181"/>
        <v>197601</v>
      </c>
      <c r="O414" s="517">
        <f ca="1">IF(L414&gt;0,N414*100/L414,0)</f>
        <v>14.955281965428952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50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182640</v>
      </c>
      <c r="M419" s="155">
        <f t="shared" si="184"/>
        <v>0</v>
      </c>
      <c r="N419" s="155">
        <f t="shared" si="184"/>
        <v>25336</v>
      </c>
      <c r="O419" s="155">
        <f t="shared" ref="O419:O424" ca="1" si="185">IF(L419&gt;0,N419*100/L419,0)</f>
        <v>13.87209811651336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182640</v>
      </c>
      <c r="M421" s="93">
        <f t="shared" si="187"/>
        <v>0</v>
      </c>
      <c r="N421" s="93">
        <f t="shared" si="187"/>
        <v>25336</v>
      </c>
      <c r="O421" s="93">
        <f t="shared" ca="1" si="185"/>
        <v>13.87209811651336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182640</v>
      </c>
      <c r="M422" s="466">
        <f t="shared" si="188"/>
        <v>0</v>
      </c>
      <c r="N422" s="466">
        <f t="shared" si="188"/>
        <v>25336</v>
      </c>
      <c r="O422" s="466">
        <f t="shared" ca="1" si="185"/>
        <v>13.87209811651336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IFERROR(__xludf.DUMMYFUNCTION("IMPORTRANGE(""https://docs.google.com/spreadsheets/d/1QqKyyYR6Q21VydFLVH3TRQUabQu_ym0Zz7PgGX0-kHA/edit?usp=sharing"",""แผน!EY27"")"),182640)</f>
        <v>182640</v>
      </c>
      <c r="M424" s="93">
        <v>0</v>
      </c>
      <c r="N424" s="93">
        <f>N425+N426+N427+N428</f>
        <v>25336</v>
      </c>
      <c r="O424" s="93">
        <f t="shared" ca="1" si="185"/>
        <v>13.87209811651336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24136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1200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50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2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IFERROR(__xludf.DUMMYFUNCTION("IMPORTRANGE(""https://docs.google.com/spreadsheets/d/1QqKyyYR6Q21VydFLVH3TRQUabQu_ym0Zz7PgGX0-kHA/edit?usp=sharing"",""แผน!FC27"")"),50)</f>
        <v>50</v>
      </c>
      <c r="J435" s="549">
        <v>50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IFERROR(__xludf.DUMMYFUNCTION("IMPORTRANGE(""https://docs.google.com/spreadsheets/d/1QqKyyYR6Q21VydFLVH3TRQUabQu_ym0Zz7PgGX0-kHA/edit?usp=sharing"",""แผน!FD27"")"),30)</f>
        <v>30</v>
      </c>
      <c r="J437" s="549"/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IFERROR(__xludf.DUMMYFUNCTION("IMPORTRANGE(""https://docs.google.com/spreadsheets/d/1QqKyyYR6Q21VydFLVH3TRQUabQu_ym0Zz7PgGX0-kHA/edit?usp=sharing"",""แผน!FE27"")"),1)</f>
        <v>1</v>
      </c>
      <c r="J438" s="215"/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IFERROR(__xludf.DUMMYFUNCTION("IMPORTRANGE(""https://docs.google.com/spreadsheets/d/1QqKyyYR6Q21VydFLVH3TRQUabQu_ym0Zz7PgGX0-kHA/edit?usp=sharing"",""แผน!FF27"")"),20)</f>
        <v>20</v>
      </c>
      <c r="J439" s="549"/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IFERROR(__xludf.DUMMYFUNCTION("IMPORTRANGE(""https://docs.google.com/spreadsheets/d/1QqKyyYR6Q21VydFLVH3TRQUabQu_ym0Zz7PgGX0-kHA/edit?usp=sharing"",""แผน!FG27"")"),1)</f>
        <v>1</v>
      </c>
      <c r="J440" s="215"/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IFERROR(__xludf.DUMMYFUNCTION("IMPORTRANGE(""https://docs.google.com/spreadsheets/d/1QqKyyYR6Q21VydFLVH3TRQUabQu_ym0Zz7PgGX0-kHA/edit?usp=sharing"",""แผน!FH27"")"),0)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150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398000</v>
      </c>
      <c r="M444" s="195">
        <f t="shared" si="197"/>
        <v>0</v>
      </c>
      <c r="N444" s="195">
        <f t="shared" si="197"/>
        <v>98340</v>
      </c>
      <c r="O444" s="195">
        <f t="shared" ref="O444:O449" ca="1" si="198">IF(L444&gt;0,N444*100/L444,0)</f>
        <v>24.708542713567841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398000</v>
      </c>
      <c r="M446" s="93">
        <f t="shared" si="200"/>
        <v>0</v>
      </c>
      <c r="N446" s="93">
        <f t="shared" si="200"/>
        <v>98340</v>
      </c>
      <c r="O446" s="93">
        <f t="shared" ca="1" si="198"/>
        <v>24.708542713567841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398000</v>
      </c>
      <c r="M447" s="466">
        <f t="shared" si="201"/>
        <v>0</v>
      </c>
      <c r="N447" s="466">
        <f t="shared" si="201"/>
        <v>98340</v>
      </c>
      <c r="O447" s="466">
        <f t="shared" ca="1" si="198"/>
        <v>24.708542713567841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IFERROR(__xludf.DUMMYFUNCTION("IMPORTRANGE(""https://docs.google.com/spreadsheets/d/1QqKyyYR6Q21VydFLVH3TRQUabQu_ym0Zz7PgGX0-kHA/edit?usp=sharing"",""แผน!FJ27"")"),398000)</f>
        <v>398000</v>
      </c>
      <c r="M449" s="93">
        <v>0</v>
      </c>
      <c r="N449" s="93">
        <f>N450+N451+N452+N453</f>
        <v>98340</v>
      </c>
      <c r="O449" s="93">
        <f t="shared" ca="1" si="198"/>
        <v>24.708542713567841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54400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39000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4940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IFERROR(__xludf.DUMMYFUNCTION("IMPORTRANGE(""https://docs.google.com/spreadsheets/d/1QqKyyYR6Q21VydFLVH3TRQUabQu_ym0Zz7PgGX0-kHA/edit?usp=sharing"",""แผน!FN27"")"),40)</f>
        <v>40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IFERROR(__xludf.DUMMYFUNCTION("IMPORTRANGE(""https://docs.google.com/spreadsheets/d/1QqKyyYR6Q21VydFLVH3TRQUabQu_ym0Zz7PgGX0-kHA/edit?usp=sharing"",""แผน!FO27"")"),150)</f>
        <v>150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IFERROR(__xludf.DUMMYFUNCTION("IMPORTRANGE(""https://docs.google.com/spreadsheets/d/1QqKyyYR6Q21VydFLVH3TRQUabQu_ym0Zz7PgGX0-kHA/edit?usp=sharing"",""แผน!FO27"")"),150)</f>
        <v>150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IFERROR(__xludf.DUMMYFUNCTION("IMPORTRANGE(""https://docs.google.com/spreadsheets/d/1QqKyyYR6Q21VydFLVH3TRQUabQu_ym0Zz7PgGX0-kHA/edit?usp=sharing"",""แผน!FN27"")"),40)</f>
        <v>40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IFERROR(__xludf.DUMMYFUNCTION("IMPORTRANGE(""https://docs.google.com/spreadsheets/d/1QqKyyYR6Q21VydFLVH3TRQUabQu_ym0Zz7PgGX0-kHA/edit?usp=sharing"",""แผน!FX27"")"),31)</f>
        <v>31</v>
      </c>
      <c r="J465" s="555">
        <f>J485+J489+J492</f>
        <v>30</v>
      </c>
      <c r="K465" s="556">
        <f t="shared" ref="K465:K466" ca="1" si="205">IF(I465&gt;0,J465*100/I465,0)</f>
        <v>96.774193548387103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IFERROR(__xludf.DUMMYFUNCTION("IMPORTRANGE(""https://docs.google.com/spreadsheets/d/1QqKyyYR6Q21VydFLVH3TRQUabQu_ym0Zz7PgGX0-kHA/edit?usp=sharing"",""แผน!FW27"")"),300)</f>
        <v>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260423</v>
      </c>
      <c r="M467" s="195">
        <f t="shared" si="206"/>
        <v>0</v>
      </c>
      <c r="N467" s="195">
        <f t="shared" si="206"/>
        <v>14135</v>
      </c>
      <c r="O467" s="195">
        <f t="shared" ref="O467:O472" ca="1" si="207">IF(L467&gt;0,N467*100/L467,0)</f>
        <v>5.4277079981414849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260423</v>
      </c>
      <c r="M469" s="93">
        <f t="shared" si="209"/>
        <v>0</v>
      </c>
      <c r="N469" s="93">
        <f t="shared" si="209"/>
        <v>14135</v>
      </c>
      <c r="O469" s="93">
        <f t="shared" ca="1" si="207"/>
        <v>5.4277079981414849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260423</v>
      </c>
      <c r="M470" s="466">
        <f t="shared" si="210"/>
        <v>0</v>
      </c>
      <c r="N470" s="466">
        <f t="shared" si="210"/>
        <v>14135</v>
      </c>
      <c r="O470" s="466">
        <f t="shared" ca="1" si="207"/>
        <v>5.4277079981414849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IFERROR(__xludf.DUMMYFUNCTION("IMPORTRANGE(""https://docs.google.com/spreadsheets/d/1QqKyyYR6Q21VydFLVH3TRQUabQu_ym0Zz7PgGX0-kHA/edit?usp=sharing"",""แผน!FS27"")"),260423)</f>
        <v>260423</v>
      </c>
      <c r="M472" s="93">
        <v>0</v>
      </c>
      <c r="N472" s="93">
        <f>N473+N474+N475+N476</f>
        <v>14135</v>
      </c>
      <c r="O472" s="93">
        <f t="shared" ca="1" si="207"/>
        <v>5.4277079981414849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12335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1800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IFERROR(__xludf.DUMMYFUNCTION("IMPORTRANGE(""https://docs.google.com/spreadsheets/d/1QqKyyYR6Q21VydFLVH3TRQUabQu_ym0Zz7PgGX0-kHA/edit?usp=sharing"",""แผน!FY27"")"),270)</f>
        <v>270</v>
      </c>
      <c r="J483" s="215">
        <v>200</v>
      </c>
      <c r="K483" s="466">
        <f ca="1">IF(I483&gt;0,J483*100/I483,0)</f>
        <v>74.074074074074076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IFERROR(__xludf.DUMMYFUNCTION("IMPORTRANGE(""https://docs.google.com/spreadsheets/d/1QqKyyYR6Q21VydFLVH3TRQUabQu_ym0Zz7PgGX0-kHA/edit?usp=sharing"",""แผน!FZ27"")"),27)</f>
        <v>27</v>
      </c>
      <c r="J485" s="215">
        <v>30</v>
      </c>
      <c r="K485" s="466">
        <f ca="1">IF(I485&gt;0,J485*100/I485,0)</f>
        <v>111.11111111111111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IFERROR(__xludf.DUMMYFUNCTION("IMPORTRANGE(""https://docs.google.com/spreadsheets/d/1QqKyyYR6Q21VydFLVH3TRQUabQu_ym0Zz7PgGX0-kHA/edit?usp=sharing"",""แผน!GA27"")"),30)</f>
        <v>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IFERROR(__xludf.DUMMYFUNCTION("IMPORTRANGE(""https://docs.google.com/spreadsheets/d/1QqKyyYR6Q21VydFLVH3TRQUabQu_ym0Zz7PgGX0-kHA/edit?usp=sharing"",""แผน!GB27"")"),3)</f>
        <v>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IFERROR(__xludf.DUMMYFUNCTION("IMPORTRANGE(""https://docs.google.com/spreadsheets/d/1QqKyyYR6Q21VydFLVH3TRQUabQu_ym0Zz7PgGX0-kHA/edit?usp=sharing"",""แผน!GC27"")"),1)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IFERROR(__xludf.DUMMYFUNCTION("IMPORTRANGE(""https://docs.google.com/spreadsheets/d/1QqKyyYR6Q21VydFLVH3TRQUabQu_ym0Zz7PgGX0-kHA/edit?usp=sharing"",""แผน!FY27"")"),270)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IFERROR(__xludf.DUMMYFUNCTION("IMPORTRANGE(""https://docs.google.com/spreadsheets/d/1QqKyyYR6Q21VydFLVH3TRQUabQu_ym0Zz7PgGX0-kHA/edit?usp=sharing"",""แผน!GA27"")"),30)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IFERROR(__xludf.DUMMYFUNCTION("IMPORTRANGE(""https://docs.google.com/spreadsheets/d/1QqKyyYR6Q21VydFLVH3TRQUabQu_ym0Zz7PgGX0-kHA/edit?usp=sharing"",""แผน!GU27"")"),0)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IFERROR(__xludf.DUMMYFUNCTION("IMPORTRANGE(""https://docs.google.com/spreadsheets/d/1QqKyyYR6Q21VydFLVH3TRQUabQu_ym0Zz7PgGX0-kHA/edit?usp=sharing"",""แผน!GV27"")"),0)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IFERROR(__xludf.DUMMYFUNCTION("IMPORTRANGE(""https://docs.google.com/spreadsheets/d/1QqKyyYR6Q21VydFLVH3TRQUabQu_ym0Zz7PgGX0-kHA/edit?usp=sharing"",""แผน!GW27"")"),0)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IFERROR(__xludf.DUMMYFUNCTION("IMPORTRANGE(""https://docs.google.com/spreadsheets/d/1QqKyyYR6Q21VydFLVH3TRQUabQu_ym0Zz7PgGX0-kHA/edit?usp=sharing"",""แผน!GX27"")"),0)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IFERROR(__xludf.DUMMYFUNCTION("IMPORTRANGE(""https://docs.google.com/spreadsheets/d/1QqKyyYR6Q21VydFLVH3TRQUabQu_ym0Zz7PgGX0-kHA/edit?usp=sharing"",""แผน!GY27"")"),0)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IFERROR(__xludf.DUMMYFUNCTION("IMPORTRANGE(""https://docs.google.com/spreadsheets/d/1QqKyyYR6Q21VydFLVH3TRQUabQu_ym0Zz7PgGX0-kHA/edit?usp=sharing"",""แผน!GZ27"")"),0)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25487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421616</v>
      </c>
      <c r="M544" s="155">
        <f t="shared" si="236"/>
        <v>0</v>
      </c>
      <c r="N544" s="155">
        <f t="shared" si="236"/>
        <v>57490</v>
      </c>
      <c r="O544" s="155">
        <f t="shared" ref="O544:O549" ca="1" si="237">IF(L544&gt;0,N544*100/L544,0)</f>
        <v>13.635630526355737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421616</v>
      </c>
      <c r="M546" s="93">
        <f t="shared" si="240"/>
        <v>0</v>
      </c>
      <c r="N546" s="93">
        <f t="shared" si="240"/>
        <v>57490</v>
      </c>
      <c r="O546" s="93">
        <f t="shared" ca="1" si="237"/>
        <v>13.635630526355737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421616</v>
      </c>
      <c r="M547" s="466">
        <f t="shared" si="241"/>
        <v>0</v>
      </c>
      <c r="N547" s="466">
        <f t="shared" si="241"/>
        <v>57490</v>
      </c>
      <c r="O547" s="466">
        <f t="shared" ca="1" si="237"/>
        <v>13.635630526355737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IFERROR(__xludf.DUMMYFUNCTION("IMPORTRANGE(""https://docs.google.com/spreadsheets/d/1QqKyyYR6Q21VydFLVH3TRQUabQu_ym0Zz7PgGX0-kHA/edit?usp=sharing"",""แผน!HB27"")"),421616)</f>
        <v>421616</v>
      </c>
      <c r="M549" s="93">
        <v>0</v>
      </c>
      <c r="N549" s="93">
        <f>N550+N551+N552+N553+N554</f>
        <v>57490</v>
      </c>
      <c r="O549" s="93">
        <f t="shared" ca="1" si="237"/>
        <v>13.635630526355737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39000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18490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25487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IFERROR(__xludf.DUMMYFUNCTION("IMPORTRANGE(""https://docs.google.com/spreadsheets/d/1QqKyyYR6Q21VydFLVH3TRQUabQu_ym0Zz7PgGX0-kHA/edit?usp=sharing"",""แผน!HH27"")"),25487)</f>
        <v>25487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IFERROR(__xludf.DUMMYFUNCTION("IMPORTRANGE(""https://docs.google.com/spreadsheets/d/1QqKyyYR6Q21VydFLVH3TRQUabQu_ym0Zz7PgGX0-kHA/edit?usp=sharing"",""แผน!HG27"")"),3299)</f>
        <v>3299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IFERROR(__xludf.DUMMYFUNCTION("IMPORTRANGE(""https://docs.google.com/spreadsheets/d/1QqKyyYR6Q21VydFLVH3TRQUabQu_ym0Zz7PgGX0-kHA/edit?usp=sharing"",""แผน!HH27"")"),25487)</f>
        <v>25487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IFERROR(__xludf.DUMMYFUNCTION("IMPORTRANGE(""https://docs.google.com/spreadsheets/d/1QqKyyYR6Q21VydFLVH3TRQUabQu_ym0Zz7PgGX0-kHA/edit?usp=sharing"",""แผน!HG27"")"),3299)</f>
        <v>3299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IFERROR(__xludf.DUMMYFUNCTION("IMPORTRANGE(""https://docs.google.com/spreadsheets/d/1QqKyyYR6Q21VydFLVH3TRQUabQu_ym0Zz7PgGX0-kHA/edit?usp=sharing"",""แผน!HH27"")"),25487)</f>
        <v>25487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IFERROR(__xludf.DUMMYFUNCTION("IMPORTRANGE(""https://docs.google.com/spreadsheets/d/1QqKyyYR6Q21VydFLVH3TRQUabQu_ym0Zz7PgGX0-kHA/edit?usp=sharing"",""แผน!HG27"")"),3299)</f>
        <v>3299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1284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IFERROR(__xludf.DUMMYFUNCTION("IMPORTRANGE(""https://docs.google.com/spreadsheets/d/1QqKyyYR6Q21VydFLVH3TRQUabQu_ym0Zz7PgGX0-kHA/edit?usp=sharing"",""แผน!HJ27"")"),1284)</f>
        <v>1284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IFERROR(__xludf.DUMMYFUNCTION("IMPORTRANGE(""https://docs.google.com/spreadsheets/d/1QqKyyYR6Q21VydFLVH3TRQUabQu_ym0Zz7PgGX0-kHA/edit?usp=sharing"",""แผน!HI27"")"),413)</f>
        <v>413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IFERROR(__xludf.DUMMYFUNCTION("IMPORTRANGE(""https://docs.google.com/spreadsheets/d/1QqKyyYR6Q21VydFLVH3TRQUabQu_ym0Zz7PgGX0-kHA/edit?usp=sharing"",""แผน!HL27"")"),0)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IFERROR(__xludf.DUMMYFUNCTION("IMPORTRANGE(""https://docs.google.com/spreadsheets/d/1QqKyyYR6Q21VydFLVH3TRQUabQu_ym0Zz7PgGX0-kHA/edit?usp=sharing"",""แผน!HK27"")"),0)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 hidden="1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 hidden="1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 hidden="1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 hidden="1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 hidden="1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 hidden="1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 hidden="1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 hidden="1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 hidden="1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 hidden="1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 hidden="1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IFERROR(__xludf.DUMMYFUNCTION("IMPORTRANGE(""https://docs.google.com/spreadsheets/d/1QqKyyYR6Q21VydFLVH3TRQUabQu_ym0Zz7PgGX0-kHA/edit?usp=sharing"",""แผน!HR27"")"),0)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 hidden="1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IFERROR(__xludf.DUMMYFUNCTION("IMPORTRANGE(""https://docs.google.com/spreadsheets/d/1XWAQStnk-4SwqDmLtmXYiTMKHgktTP8We1SCoS47DrQ/edit?usp=sharing"",""จัดที่ดิน!AS27"")"),0)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 hidden="1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IFERROR(__xludf.DUMMYFUNCTION("IMPORTRANGE(""https://docs.google.com/spreadsheets/d/1XWAQStnk-4SwqDmLtmXYiTMKHgktTP8We1SCoS47DrQ/edit?usp=sharing"",""จัดที่ดิน!AT27"")"),0)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 hidden="1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IFERROR(__xludf.DUMMYFUNCTION("IMPORTRANGE(""https://docs.google.com/spreadsheets/d/1QqKyyYR6Q21VydFLVH3TRQUabQu_ym0Zz7PgGX0-kHA/edit?usp=sharing"",""แผน!HS27"")"),0)</f>
        <v>0</v>
      </c>
      <c r="J647" s="270">
        <f ca="1">IFERROR(__xludf.DUMMYFUNCTION("IMPORTRANGE(""https://docs.google.com/spreadsheets/d/1XWAQStnk-4SwqDmLtmXYiTMKHgktTP8We1SCoS47DrQ/edit?usp=sharing"",""จัดที่ดิน!AU27"")"),0)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 hidden="1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IFERROR(__xludf.DUMMYFUNCTION("IMPORTRANGE(""https://docs.google.com/spreadsheets/d/1XWAQStnk-4SwqDmLtmXYiTMKHgktTP8We1SCoS47DrQ/edit?usp=sharing"",""จัดที่ดิน!AV27"")"),0)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 hidden="1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IFERROR(__xludf.DUMMYFUNCTION("IMPORTRANGE(""https://docs.google.com/spreadsheets/d/1QqKyyYR6Q21VydFLVH3TRQUabQu_ym0Zz7PgGX0-kHA/edit?usp=sharing"",""แผน!HS27"")"),0)</f>
        <v>0</v>
      </c>
      <c r="J649" s="270">
        <f ca="1">IFERROR(__xludf.DUMMYFUNCTION("IMPORTRANGE(""https://docs.google.com/spreadsheets/d/1XWAQStnk-4SwqDmLtmXYiTMKHgktTP8We1SCoS47DrQ/edit?usp=sharing"",""จัดที่ดิน!AW27"")"),0)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 hidden="1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IFERROR(__xludf.DUMMYFUNCTION("IMPORTRANGE(""https://docs.google.com/spreadsheets/d/1XWAQStnk-4SwqDmLtmXYiTMKHgktTP8We1SCoS47DrQ/edit?usp=sharing"",""จัดที่ดิน!AX27"")"),0)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 hidden="1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IFERROR(__xludf.DUMMYFUNCTION("IMPORTRANGE(""https://docs.google.com/spreadsheets/d/1QqKyyYR6Q21VydFLVH3TRQUabQu_ym0Zz7PgGX0-kHA/edit?usp=sharing"",""แผน!HS27"")"),0)</f>
        <v>0</v>
      </c>
      <c r="J651" s="270">
        <f ca="1">IFERROR(__xludf.DUMMYFUNCTION("IMPORTRANGE(""https://docs.google.com/spreadsheets/d/1XWAQStnk-4SwqDmLtmXYiTMKHgktTP8We1SCoS47DrQ/edit?usp=sharing"",""จัดที่ดิน!AY27"")"),0)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 hidden="1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IFERROR(__xludf.DUMMYFUNCTION("IMPORTRANGE(""https://docs.google.com/spreadsheets/d/1XWAQStnk-4SwqDmLtmXYiTMKHgktTP8We1SCoS47DrQ/edit?usp=sharing"",""จัดที่ดิน!AZ27"")"),0)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200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18400</v>
      </c>
      <c r="M655" s="195">
        <f t="shared" si="273"/>
        <v>0</v>
      </c>
      <c r="N655" s="195">
        <f t="shared" si="273"/>
        <v>1300</v>
      </c>
      <c r="O655" s="195">
        <f t="shared" ref="O655:O660" ca="1" si="274">IF(L655&gt;0,N655*100/L655,0)</f>
        <v>7.0652173913043477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18400</v>
      </c>
      <c r="M657" s="93">
        <f t="shared" si="276"/>
        <v>0</v>
      </c>
      <c r="N657" s="93">
        <f t="shared" si="276"/>
        <v>1300</v>
      </c>
      <c r="O657" s="93">
        <f t="shared" ca="1" si="274"/>
        <v>7.0652173913043477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18400</v>
      </c>
      <c r="M658" s="466">
        <f t="shared" si="277"/>
        <v>0</v>
      </c>
      <c r="N658" s="466">
        <f t="shared" si="277"/>
        <v>1300</v>
      </c>
      <c r="O658" s="466">
        <f t="shared" ca="1" si="274"/>
        <v>7.0652173913043477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IFERROR(__xludf.DUMMYFUNCTION("IMPORTRANGE(""https://docs.google.com/spreadsheets/d/1QqKyyYR6Q21VydFLVH3TRQUabQu_ym0Zz7PgGX0-kHA/edit?usp=sharing"",""แผน!HV27"")"),18400)</f>
        <v>18400</v>
      </c>
      <c r="M660" s="93">
        <v>0</v>
      </c>
      <c r="N660" s="93">
        <f>N661+N662+N663+N664</f>
        <v>1300</v>
      </c>
      <c r="O660" s="93">
        <f t="shared" ca="1" si="274"/>
        <v>7.0652173913043477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1300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IFERROR(__xludf.DUMMYFUNCTION("IMPORTRANGE(""https://docs.google.com/spreadsheets/d/1QqKyyYR6Q21VydFLVH3TRQUabQu_ym0Zz7PgGX0-kHA/edit?usp=sharing"",""แผน!IA27"")"),200)</f>
        <v>200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IFERROR(__xludf.DUMMYFUNCTION("IMPORTRANGE(""https://docs.google.com/spreadsheets/d/1QqKyyYR6Q21VydFLVH3TRQUabQu_ym0Zz7PgGX0-kHA/edit?usp=sharing"",""แผน!HZ27"")"),4)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IFERROR(__xludf.DUMMYFUNCTION("IMPORTRANGE(""https://docs.google.com/spreadsheets/d/1QqKyyYR6Q21VydFLVH3TRQUabQu_ym0Zz7PgGX0-kHA/edit?usp=sharing"",""แผน!HZ27"")"),4)</f>
        <v>4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646.95000000000005</v>
      </c>
      <c r="K672" s="466">
        <f t="shared" ref="K672:K675" ca="1" si="281">IF(I$669&gt;0,J672*100/I$669,0)</f>
        <v>323.47500000000002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IFERROR(__xludf.DUMMYFUNCTION("IMPORTRANGE(""https://docs.google.com/spreadsheets/d/1QqKyyYR6Q21VydFLVH3TRQUabQu_ym0Zz7PgGX0-kHA/edit?usp=sharing"",""แผน!IB27"")"),0)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40200</v>
      </c>
      <c r="M685" s="195">
        <f t="shared" si="282"/>
        <v>0</v>
      </c>
      <c r="N685" s="195">
        <f t="shared" si="282"/>
        <v>1000</v>
      </c>
      <c r="O685" s="195">
        <f t="shared" ref="O685:O688" ca="1" si="283">IF(L685&gt;0,N685*100/L685,0)</f>
        <v>2.4875621890547261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40200</v>
      </c>
      <c r="M687" s="93">
        <f t="shared" si="285"/>
        <v>0</v>
      </c>
      <c r="N687" s="93">
        <f t="shared" si="285"/>
        <v>1000</v>
      </c>
      <c r="O687" s="93">
        <f t="shared" ca="1" si="283"/>
        <v>2.4875621890547261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40200</v>
      </c>
      <c r="M688" s="466">
        <f t="shared" si="286"/>
        <v>0</v>
      </c>
      <c r="N688" s="466">
        <f t="shared" si="286"/>
        <v>1000</v>
      </c>
      <c r="O688" s="466">
        <f t="shared" ca="1" si="283"/>
        <v>2.4875621890547261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IFERROR(__xludf.DUMMYFUNCTION("IMPORTRANGE(""https://docs.google.com/spreadsheets/d/1QqKyyYR6Q21VydFLVH3TRQUabQu_ym0Zz7PgGX0-kHA/edit?usp=sharing"",""แผน!HW27"")"),40200)</f>
        <v>40200</v>
      </c>
      <c r="M690" s="93">
        <v>0</v>
      </c>
      <c r="N690" s="93">
        <f>N691+N692+N693+N694</f>
        <v>1000</v>
      </c>
      <c r="O690" s="93">
        <f ca="1">IF(L690&gt;0,N690*100/L690,0)</f>
        <v>2.4875621890547261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1000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IFERROR(__xludf.DUMMYFUNCTION("IMPORTRANGE(""https://docs.google.com/spreadsheets/d/1QqKyyYR6Q21VydFLVH3TRQUabQu_ym0Zz7PgGX0-kHA/edit?usp=sharing"",""แผน!IC27"")"),0)</f>
        <v>0</v>
      </c>
      <c r="J699" s="270">
        <f ca="1">IFERROR(__xludf.DUMMYFUNCTION("IMPORTRANGE(""https://docs.google.com/spreadsheets/d/1XWAQStnk-4SwqDmLtmXYiTMKHgktTP8We1SCoS47DrQ/edit?usp=sharing"",""จัดที่ดิน!BB27"")"),0)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IFERROR(__xludf.DUMMYFUNCTION("IMPORTRANGE(""https://docs.google.com/spreadsheets/d/1QqKyyYR6Q21VydFLVH3TRQUabQu_ym0Zz7PgGX0-kHA/edit?usp=sharing"",""แผน!ID27"")"),30)</f>
        <v>30</v>
      </c>
      <c r="J700" s="270">
        <f ca="1">IFERROR(__xludf.DUMMYFUNCTION("IMPORTRANGE(""https://docs.google.com/spreadsheets/d/1XWAQStnk-4SwqDmLtmXYiTMKHgktTP8We1SCoS47DrQ/edit?usp=sharing"",""จัดที่ดิน!BD27"")"),0)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IFERROR(__xludf.DUMMYFUNCTION("IMPORTRANGE(""https://docs.google.com/spreadsheets/d/1QqKyyYR6Q21VydFLVH3TRQUabQu_ym0Zz7PgGX0-kHA/edit?usp=sharing"",""แผน!IE27"")"),200)</f>
        <v>200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IFERROR(__xludf.DUMMYFUNCTION("IMPORTRANGE(""https://docs.google.com/spreadsheets/d/1QqKyyYR6Q21VydFLVH3TRQUabQu_ym0Zz7PgGX0-kHA/edit?usp=sharing"",""แผน!IF27"")"),200)</f>
        <v>200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IFERROR(__xludf.DUMMYFUNCTION("IMPORTRANGE(""https://docs.google.com/spreadsheets/d/1QqKyyYR6Q21VydFLVH3TRQUabQu_ym0Zz7PgGX0-kHA/edit?usp=sharing"",""แผน!IG27"")"),0)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IFERROR(__xludf.DUMMYFUNCTION("IMPORTRANGE(""https://docs.google.com/spreadsheets/d/1QqKyyYR6Q21VydFLVH3TRQUabQu_ym0Zz7PgGX0-kHA/edit?usp=sharing"",""แผน!IH27"")"),100)</f>
        <v>100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IFERROR(__xludf.DUMMYFUNCTION("IMPORTRANGE(""https://docs.google.com/spreadsheets/d/1XWAQStnk-4SwqDmLtmXYiTMKHgktTP8We1SCoS47DrQ/edit?usp=sharing"",""จัดที่ดิน!BF27"")"),0)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IFERROR(__xludf.DUMMYFUNCTION("IMPORTRANGE(""https://docs.google.com/spreadsheets/d/1XWAQStnk-4SwqDmLtmXYiTMKHgktTP8We1SCoS47DrQ/edit?usp=sharing"",""จัดที่ดิน!BG27"")"),0)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IFERROR(__xludf.DUMMYFUNCTION("IMPORTRANGE(""https://docs.google.com/spreadsheets/d/1QqKyyYR6Q21VydFLVH3TRQUabQu_ym0Zz7PgGX0-kHA/edit?usp=sharing"",""แผน!II27"")"),400)</f>
        <v>400</v>
      </c>
      <c r="J720" s="270">
        <f ca="1">IFERROR(__xludf.DUMMYFUNCTION("IMPORTRANGE(""https://docs.google.com/spreadsheets/d/1XWAQStnk-4SwqDmLtmXYiTMKHgktTP8We1SCoS47DrQ/edit?usp=sharing"",""จัดที่ดิน!BH27"")"),0)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IFERROR(__xludf.DUMMYFUNCTION("IMPORTRANGE(""https://docs.google.com/spreadsheets/d/1QqKyyYR6Q21VydFLVH3TRQUabQu_ym0Zz7PgGX0-kHA/edit?usp=sharing"",""แผน!IJ27"")"),30)</f>
        <v>30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IFERROR(__xludf.DUMMYFUNCTION("IMPORTRANGE(""https://docs.google.com/spreadsheets/d/1QqKyyYR6Q21VydFLVH3TRQUabQu_ym0Zz7PgGX0-kHA/edit?usp=sharing"",""แผน!IK27"")"),300)</f>
        <v>300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IFERROR(__xludf.DUMMYFUNCTION("IMPORTRANGE(""https://docs.google.com/spreadsheets/d/1QqKyyYR6Q21VydFLVH3TRQUabQu_ym0Zz7PgGX0-kHA/edit?usp=sharing"",""แผน!IL27"")"),20)</f>
        <v>20</v>
      </c>
      <c r="J723" s="270">
        <f ca="1">IFERROR(__xludf.DUMMYFUNCTION("IMPORTRANGE(""https://docs.google.com/spreadsheets/d/1XWAQStnk-4SwqDmLtmXYiTMKHgktTP8We1SCoS47DrQ/edit?usp=sharing"",""จัดที่ดิน!BM27"")"),0)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IFERROR(__xludf.DUMMYFUNCTION("IMPORTRANGE(""https://docs.google.com/spreadsheets/d/1XWAQStnk-4SwqDmLtmXYiTMKHgktTP8We1SCoS47DrQ/edit?usp=sharing"",""จัดที่ดิน!BN27"")"),0)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IFERROR(__xludf.DUMMYFUNCTION("IMPORTRANGE(""https://docs.google.com/spreadsheets/d/1QqKyyYR6Q21VydFLVH3TRQUabQu_ym0Zz7PgGX0-kHA/edit?usp=sharing"",""แผน!IM27"")"),200)</f>
        <v>200</v>
      </c>
      <c r="J725" s="270">
        <f ca="1">IFERROR(__xludf.DUMMYFUNCTION("IMPORTRANGE(""https://docs.google.com/spreadsheets/d/1XWAQStnk-4SwqDmLtmXYiTMKHgktTP8We1SCoS47DrQ/edit?usp=sharing"",""จัดที่ดิน!BO27"")"),0)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IFERROR(__xludf.DUMMYFUNCTION("IMPORTRANGE(""https://docs.google.com/spreadsheets/d/1QqKyyYR6Q21VydFLVH3TRQUabQu_ym0Zz7PgGX0-kHA/edit?usp=sharing"",""แผน!IN27"")"),10)</f>
        <v>10</v>
      </c>
      <c r="J726" s="270">
        <f ca="1">IFERROR(__xludf.DUMMYFUNCTION("IMPORTRANGE(""https://docs.google.com/spreadsheets/d/1XWAQStnk-4SwqDmLtmXYiTMKHgktTP8We1SCoS47DrQ/edit?usp=sharing"",""จัดที่ดิน!BR27"")"),0)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IFERROR(__xludf.DUMMYFUNCTION("IMPORTRANGE(""https://docs.google.com/spreadsheets/d/1XWAQStnk-4SwqDmLtmXYiTMKHgktTP8We1SCoS47DrQ/edit?usp=sharing"",""จัดที่ดิน!BS27"")"),0)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IFERROR(__xludf.DUMMYFUNCTION("IMPORTRANGE(""https://docs.google.com/spreadsheets/d/1QqKyyYR6Q21VydFLVH3TRQUabQu_ym0Zz7PgGX0-kHA/edit?usp=sharing"",""แผน!IO27"")"),100)</f>
        <v>100</v>
      </c>
      <c r="J728" s="270">
        <f ca="1">IFERROR(__xludf.DUMMYFUNCTION("IMPORTRANGE(""https://docs.google.com/spreadsheets/d/1XWAQStnk-4SwqDmLtmXYiTMKHgktTP8We1SCoS47DrQ/edit?usp=sharing"",""จัดที่ดิน!BT27"")"),0)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IFERROR(__xludf.DUMMYFUNCTION("IMPORTRANGE(""https://docs.google.com/spreadsheets/d/1QqKyyYR6Q21VydFLVH3TRQUabQu_ym0Zz7PgGX0-kHA/edit?usp=sharing"",""แผน!IP27"")"),40)</f>
        <v>40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84">
        <f t="shared" ref="I785:J785" ca="1" si="318">I800</f>
        <v>0</v>
      </c>
      <c r="J785" s="771">
        <f t="shared" ca="1" si="318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27"/>
      <c r="F789" s="727"/>
      <c r="G789" s="189"/>
      <c r="H789" s="776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27"/>
      <c r="D792" s="727"/>
      <c r="E792" s="727"/>
      <c r="F792" s="727" t="s">
        <v>186</v>
      </c>
      <c r="G792" s="189"/>
      <c r="H792" s="776" t="s">
        <v>12</v>
      </c>
      <c r="I792" s="270"/>
      <c r="J792" s="270"/>
      <c r="K792" s="466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27"/>
      <c r="D793" s="727"/>
      <c r="E793" s="727"/>
      <c r="F793" s="727" t="s">
        <v>187</v>
      </c>
      <c r="G793" s="189"/>
      <c r="H793" s="776" t="s">
        <v>12</v>
      </c>
      <c r="I793" s="270"/>
      <c r="J793" s="270"/>
      <c r="K793" s="466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27"/>
      <c r="D794" s="727"/>
      <c r="E794" s="727"/>
      <c r="F794" s="727" t="s">
        <v>188</v>
      </c>
      <c r="G794" s="189"/>
      <c r="H794" s="776" t="s">
        <v>12</v>
      </c>
      <c r="I794" s="270"/>
      <c r="J794" s="270"/>
      <c r="K794" s="466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27"/>
      <c r="D795" s="727"/>
      <c r="E795" s="727"/>
      <c r="F795" s="727" t="s">
        <v>189</v>
      </c>
      <c r="G795" s="189"/>
      <c r="H795" s="776" t="s">
        <v>12</v>
      </c>
      <c r="I795" s="270"/>
      <c r="J795" s="270"/>
      <c r="K795" s="466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27"/>
      <c r="D796" s="571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774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6"/>
      <c r="H800" s="775" t="s">
        <v>46</v>
      </c>
      <c r="I800" s="184">
        <f ca="1">IFERROR(__xludf.DUMMYFUNCTION("IMPORTRANGE(""https://docs.google.com/spreadsheets/d/1QqKyyYR6Q21VydFLVH3TRQUabQu_ym0Zz7PgGX0-kHA/edit?usp=sharing"",""แผน!JN27"")"),0)</f>
        <v>0</v>
      </c>
      <c r="J800" s="184">
        <f ca="1">IFERROR(__xludf.DUMMYFUNCTION("IMPORTRANGE(""https://docs.google.com/spreadsheets/d/1MaWodYyGHDf7siQLGxnXhG4mBNTNIuy296niS2xXulU/edit?usp=sharing"",""RTK!H27"")"),0)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6"/>
      <c r="H801" s="776" t="s">
        <v>34</v>
      </c>
      <c r="I801" s="184"/>
      <c r="J801" s="270">
        <f ca="1">IFERROR(__xludf.DUMMYFUNCTION("IMPORTRANGE(""https://docs.google.com/spreadsheets/d/1MaWodYyGHDf7siQLGxnXhG4mBNTNIuy296niS2xXulU/edit?usp=sharing"",""RTK!I27"")"),0)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4"/>
      <c r="F802" s="684" t="s">
        <v>321</v>
      </c>
      <c r="G802" s="582"/>
      <c r="H802" s="619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4"/>
      <c r="F803" s="684"/>
      <c r="G803" s="582"/>
      <c r="H803" s="619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7">L806+L807</f>
        <v>0</v>
      </c>
      <c r="M805" s="613">
        <f t="shared" si="327"/>
        <v>0</v>
      </c>
      <c r="N805" s="613">
        <f t="shared" si="327"/>
        <v>0</v>
      </c>
      <c r="O805" s="613">
        <f t="shared" ref="O805:O810" si="328">IF(L805&gt;0,N805*100/L805,0)</f>
        <v>0</v>
      </c>
      <c r="P805" s="613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1">L809+L810</f>
        <v>0</v>
      </c>
      <c r="M808" s="613">
        <f t="shared" si="331"/>
        <v>0</v>
      </c>
      <c r="N808" s="613">
        <f t="shared" si="331"/>
        <v>0</v>
      </c>
      <c r="O808" s="613">
        <f t="shared" si="328"/>
        <v>0</v>
      </c>
      <c r="P808" s="613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2">L816+L817</f>
        <v>0</v>
      </c>
      <c r="M815" s="613">
        <f t="shared" si="332"/>
        <v>0</v>
      </c>
      <c r="N815" s="613">
        <f t="shared" si="332"/>
        <v>0</v>
      </c>
      <c r="O815" s="613">
        <f t="shared" ref="O815:O817" si="333">IF(L815&gt;0,N815*100/L815,0)</f>
        <v>0</v>
      </c>
      <c r="P815" s="613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IFERROR(__xludf.DUMMYFUNCTION("IMPORTRANGE(""https://docs.google.com/spreadsheets/d/19vJNZY_5yjcGF2XGBMNZRCAIB0Kwfpjp8YEOfu-bneM/edit?usp=sharing"",""งานกองทุน!D27"")"),6570000)</f>
        <v>6570000</v>
      </c>
      <c r="J821" s="270">
        <f ca="1">IFERROR(__xludf.DUMMYFUNCTION("IMPORTRANGE(""https://docs.google.com/spreadsheets/d/19vJNZY_5yjcGF2XGBMNZRCAIB0Kwfpjp8YEOfu-bneM/edit?usp=sharing"",""งานกองทุน!F27"")"),1517900)</f>
        <v>1517900</v>
      </c>
      <c r="K821" s="466">
        <f t="shared" ref="K821:K828" ca="1" si="335">IF(I821&gt;0,J821*100/I821,0)</f>
        <v>23.103500761035008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IFERROR(__xludf.DUMMYFUNCTION("IMPORTRANGE(""https://docs.google.com/spreadsheets/d/19vJNZY_5yjcGF2XGBMNZRCAIB0Kwfpjp8YEOfu-bneM/edit?usp=sharing"",""งานกองทุน!C27"")"),216)</f>
        <v>216</v>
      </c>
      <c r="J822" s="270">
        <f ca="1">IFERROR(__xludf.DUMMYFUNCTION("IMPORTRANGE(""https://docs.google.com/spreadsheets/d/19vJNZY_5yjcGF2XGBMNZRCAIB0Kwfpjp8YEOfu-bneM/edit?usp=sharing"",""งานกองทุน!E27"")"),60)</f>
        <v>60</v>
      </c>
      <c r="K822" s="466">
        <f t="shared" ca="1" si="335"/>
        <v>27.777777777777779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270">
        <f ca="1">IFERROR(__xludf.DUMMYFUNCTION("IMPORTRANGE(""https://docs.google.com/spreadsheets/d/19vJNZY_5yjcGF2XGBMNZRCAIB0Kwfpjp8YEOfu-bneM/edit?usp=sharing"",""งานกองทุน!K27"")"),60446.7)</f>
        <v>60446.7</v>
      </c>
      <c r="K823" s="466">
        <f t="shared" ca="1" si="335"/>
        <v>1.0848637366730407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IFERROR(__xludf.DUMMYFUNCTION("IMPORTRANGE(""https://docs.google.com/spreadsheets/d/19vJNZY_5yjcGF2XGBMNZRCAIB0Kwfpjp8YEOfu-bneM/edit?usp=sharing"",""งานกองทุน!H27"")"),221)</f>
        <v>221</v>
      </c>
      <c r="J824" s="270">
        <f ca="1">IFERROR(__xludf.DUMMYFUNCTION("IMPORTRANGE(""https://docs.google.com/spreadsheets/d/19vJNZY_5yjcGF2XGBMNZRCAIB0Kwfpjp8YEOfu-bneM/edit?usp=sharing"",""งานกองทุน!J27"")"),20)</f>
        <v>20</v>
      </c>
      <c r="K824" s="466">
        <f t="shared" ca="1" si="335"/>
        <v>9.0497737556561084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270">
        <f ca="1">IFERROR(__xludf.DUMMYFUNCTION("IMPORTRANGE(""https://docs.google.com/spreadsheets/d/19vJNZY_5yjcGF2XGBMNZRCAIB0Kwfpjp8YEOfu-bneM/edit?usp=sharing"",""งานกองทุน!P27"")"),72987.43)</f>
        <v>72987.429999999993</v>
      </c>
      <c r="K825" s="466">
        <f t="shared" ca="1" si="335"/>
        <v>2.0506411339341728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IFERROR(__xludf.DUMMYFUNCTION("IMPORTRANGE(""https://docs.google.com/spreadsheets/d/19vJNZY_5yjcGF2XGBMNZRCAIB0Kwfpjp8YEOfu-bneM/edit?usp=sharing"",""งานกองทุน!M27"")"),451)</f>
        <v>451</v>
      </c>
      <c r="J826" s="270">
        <f ca="1">IFERROR(__xludf.DUMMYFUNCTION("IMPORTRANGE(""https://docs.google.com/spreadsheets/d/19vJNZY_5yjcGF2XGBMNZRCAIB0Kwfpjp8YEOfu-bneM/edit?usp=sharing"",""งานกองทุน!O27"")"),48)</f>
        <v>48</v>
      </c>
      <c r="K826" s="466">
        <f t="shared" ca="1" si="335"/>
        <v>10.643015521064301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IFERROR(__xludf.DUMMYFUNCTION("IMPORTRANGE(""https://docs.google.com/spreadsheets/d/19vJNZY_5yjcGF2XGBMNZRCAIB0Kwfpjp8YEOfu-bneM/edit?usp=sharing"",""งานกองทุน!S27"")"),9900000)</f>
        <v>9900000</v>
      </c>
      <c r="J827" s="270">
        <f ca="1">IFERROR(__xludf.DUMMYFUNCTION("IMPORTRANGE(""https://docs.google.com/spreadsheets/d/19vJNZY_5yjcGF2XGBMNZRCAIB0Kwfpjp8YEOfu-bneM/edit?usp=sharing"",""งานกองทุน!U27"")"),1300000)</f>
        <v>1300000</v>
      </c>
      <c r="K827" s="466">
        <f t="shared" ca="1" si="335"/>
        <v>13.131313131313131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IFERROR(__xludf.DUMMYFUNCTION("IMPORTRANGE(""https://docs.google.com/spreadsheets/d/19vJNZY_5yjcGF2XGBMNZRCAIB0Kwfpjp8YEOfu-bneM/edit?usp=sharing"",""งานกองทุน!R27"")"),396)</f>
        <v>396</v>
      </c>
      <c r="J828" s="469">
        <f ca="1">IFERROR(__xludf.DUMMYFUNCTION("IMPORTRANGE(""https://docs.google.com/spreadsheets/d/19vJNZY_5yjcGF2XGBMNZRCAIB0Kwfpjp8YEOfu-bneM/edit?usp=sharing"",""งานกองทุน!T27"")"),40)</f>
        <v>40</v>
      </c>
      <c r="K828" s="470">
        <f t="shared" ca="1" si="335"/>
        <v>10.1010101010101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1079B-A185-4C4B-B614-0031DBA18E3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6.85546875" style="801" bestFit="1" customWidth="1"/>
    <col min="10" max="10" width="14.4257812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352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6477444</v>
      </c>
      <c r="M8" s="22">
        <f t="shared" ca="1" si="0"/>
        <v>2597765</v>
      </c>
      <c r="N8" s="22">
        <f t="shared" ca="1" si="0"/>
        <v>1736052.1</v>
      </c>
      <c r="O8" s="22">
        <f t="shared" ref="O8:O16" ca="1" si="1">IF(L8&gt;0,N8*100/L8,0)</f>
        <v>26.801499171586816</v>
      </c>
      <c r="P8" s="22">
        <f t="shared" ref="P8:P16" ca="1" si="2">IF(M8&gt;0,N8*100/M8,0)</f>
        <v>66.828681578202804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6477444</v>
      </c>
      <c r="M10" s="30">
        <f t="shared" ca="1" si="3"/>
        <v>2597765</v>
      </c>
      <c r="N10" s="30">
        <f t="shared" ca="1" si="3"/>
        <v>1736052.1</v>
      </c>
      <c r="O10" s="30">
        <f t="shared" ca="1" si="1"/>
        <v>26.801499171586816</v>
      </c>
      <c r="P10" s="30">
        <f t="shared" ca="1" si="2"/>
        <v>66.828681578202804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6134344</v>
      </c>
      <c r="M11" s="466">
        <f t="shared" ca="1" si="4"/>
        <v>2254715</v>
      </c>
      <c r="N11" s="466">
        <f t="shared" ca="1" si="4"/>
        <v>1393002.1</v>
      </c>
      <c r="O11" s="466">
        <f t="shared" ca="1" si="1"/>
        <v>22.708248836387394</v>
      </c>
      <c r="P11" s="466">
        <f t="shared" ca="1" si="2"/>
        <v>61.781737381442888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6134344</v>
      </c>
      <c r="M13" s="93">
        <f t="shared" ca="1" si="5"/>
        <v>2254715</v>
      </c>
      <c r="N13" s="93">
        <f t="shared" ca="1" si="5"/>
        <v>1393002.1</v>
      </c>
      <c r="O13" s="93">
        <f t="shared" ca="1" si="1"/>
        <v>22.708248836387394</v>
      </c>
      <c r="P13" s="93">
        <f t="shared" ca="1" si="2"/>
        <v>61.781737381442888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343100</v>
      </c>
      <c r="M14" s="466">
        <f t="shared" ca="1" si="6"/>
        <v>343050</v>
      </c>
      <c r="N14" s="466">
        <f t="shared" ca="1" si="6"/>
        <v>343050</v>
      </c>
      <c r="O14" s="466">
        <f t="shared" ca="1" si="1"/>
        <v>99.985426989215966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343100</v>
      </c>
      <c r="M16" s="52">
        <f t="shared" ca="1" si="7"/>
        <v>343050</v>
      </c>
      <c r="N16" s="52">
        <f t="shared" ca="1" si="7"/>
        <v>343050</v>
      </c>
      <c r="O16" s="52">
        <f t="shared" ca="1" si="1"/>
        <v>99.985426989215966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4393145</v>
      </c>
      <c r="M18" s="22">
        <f t="shared" ca="1" si="8"/>
        <v>2597765</v>
      </c>
      <c r="N18" s="22">
        <f t="shared" ca="1" si="8"/>
        <v>1364737.92</v>
      </c>
      <c r="O18" s="22">
        <f t="shared" ref="O18:O26" ca="1" si="9">IF(L18&gt;0,N18*100/L18,0)</f>
        <v>31.065169030387114</v>
      </c>
      <c r="P18" s="22">
        <f t="shared" ref="P18:P26" ca="1" si="10">IF(M18&gt;0,N18*100/M18,0)</f>
        <v>52.535079962968169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4393145</v>
      </c>
      <c r="M20" s="30">
        <f t="shared" ca="1" si="11"/>
        <v>2597765</v>
      </c>
      <c r="N20" s="30">
        <f t="shared" ca="1" si="11"/>
        <v>1364737.92</v>
      </c>
      <c r="O20" s="30">
        <f t="shared" ca="1" si="9"/>
        <v>31.065169030387114</v>
      </c>
      <c r="P20" s="30">
        <f t="shared" ca="1" si="10"/>
        <v>52.535079962968169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4050045</v>
      </c>
      <c r="M21" s="466">
        <f t="shared" ca="1" si="12"/>
        <v>2254715</v>
      </c>
      <c r="N21" s="466">
        <f t="shared" ca="1" si="12"/>
        <v>1021687.92</v>
      </c>
      <c r="O21" s="466">
        <f t="shared" ca="1" si="9"/>
        <v>25.226581926867478</v>
      </c>
      <c r="P21" s="466">
        <f t="shared" ca="1" si="10"/>
        <v>45.313395262815924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4050045</v>
      </c>
      <c r="M23" s="93">
        <f t="shared" ca="1" si="13"/>
        <v>2254715</v>
      </c>
      <c r="N23" s="93">
        <f t="shared" ca="1" si="13"/>
        <v>1021687.92</v>
      </c>
      <c r="O23" s="93">
        <f t="shared" ca="1" si="9"/>
        <v>25.226581926867478</v>
      </c>
      <c r="P23" s="93">
        <f t="shared" ca="1" si="10"/>
        <v>45.313395262815924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343100</v>
      </c>
      <c r="M24" s="466">
        <f t="shared" ca="1" si="14"/>
        <v>343050</v>
      </c>
      <c r="N24" s="466">
        <f t="shared" ca="1" si="14"/>
        <v>343050</v>
      </c>
      <c r="O24" s="466">
        <f t="shared" ca="1" si="9"/>
        <v>99.985426989215966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343100</v>
      </c>
      <c r="M26" s="52">
        <f t="shared" ca="1" si="15"/>
        <v>343050</v>
      </c>
      <c r="N26" s="52">
        <f t="shared" ca="1" si="15"/>
        <v>343050</v>
      </c>
      <c r="O26" s="52">
        <f t="shared" ca="1" si="9"/>
        <v>99.985426989215966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2084299</v>
      </c>
      <c r="M28" s="22">
        <f t="shared" si="16"/>
        <v>0</v>
      </c>
      <c r="N28" s="22">
        <f t="shared" si="16"/>
        <v>371314.18</v>
      </c>
      <c r="O28" s="22">
        <f t="shared" ref="O28:O37" ca="1" si="17">IF(L28&gt;0,N28*100/L28,0)</f>
        <v>17.814823113190574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2084299</v>
      </c>
      <c r="M30" s="30">
        <f t="shared" si="19"/>
        <v>0</v>
      </c>
      <c r="N30" s="30">
        <f t="shared" si="19"/>
        <v>371314.18</v>
      </c>
      <c r="O30" s="30">
        <f t="shared" ca="1" si="17"/>
        <v>17.814823113190574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2084299</v>
      </c>
      <c r="M31" s="466">
        <f t="shared" si="20"/>
        <v>0</v>
      </c>
      <c r="N31" s="466">
        <f t="shared" si="20"/>
        <v>371314.18</v>
      </c>
      <c r="O31" s="466">
        <f t="shared" ca="1" si="17"/>
        <v>17.814823113190574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2084299</v>
      </c>
      <c r="M33" s="93">
        <f t="shared" si="21"/>
        <v>0</v>
      </c>
      <c r="N33" s="93">
        <f t="shared" si="21"/>
        <v>371314.18</v>
      </c>
      <c r="O33" s="93">
        <f t="shared" ca="1" si="17"/>
        <v>17.814823113190574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4393145</v>
      </c>
      <c r="M37" s="832">
        <f t="shared" ca="1" si="24"/>
        <v>2597765</v>
      </c>
      <c r="N37" s="832">
        <f t="shared" ca="1" si="24"/>
        <v>1364737.9200000002</v>
      </c>
      <c r="O37" s="832">
        <f t="shared" ca="1" si="17"/>
        <v>31.065169030387121</v>
      </c>
      <c r="P37" s="832">
        <f t="shared" ca="1" si="18"/>
        <v>52.535079962968176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548300</v>
      </c>
      <c r="M41" s="85">
        <f t="shared" ca="1" si="25"/>
        <v>285850</v>
      </c>
      <c r="N41" s="85">
        <f t="shared" ca="1" si="25"/>
        <v>194697.45</v>
      </c>
      <c r="O41" s="85">
        <f t="shared" ref="O41:O49" ca="1" si="26">IF(L41&gt;0,N41*100/L41,0)</f>
        <v>35.509292358198067</v>
      </c>
      <c r="P41" s="85">
        <f t="shared" ref="P41:P49" ca="1" si="27">IF(M41&gt;0,N41*100/M41,0)</f>
        <v>68.11175441665209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548300</v>
      </c>
      <c r="M43" s="92">
        <f t="shared" ca="1" si="28"/>
        <v>285850</v>
      </c>
      <c r="N43" s="92">
        <f t="shared" ca="1" si="28"/>
        <v>194697.45</v>
      </c>
      <c r="O43" s="92">
        <f t="shared" ca="1" si="26"/>
        <v>35.509292358198067</v>
      </c>
      <c r="P43" s="92">
        <f t="shared" ca="1" si="27"/>
        <v>68.11175441665209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548300</v>
      </c>
      <c r="M44" s="466">
        <f t="shared" ca="1" si="29"/>
        <v>285850</v>
      </c>
      <c r="N44" s="466">
        <f t="shared" ca="1" si="29"/>
        <v>194697.45</v>
      </c>
      <c r="O44" s="466">
        <f t="shared" ca="1" si="26"/>
        <v>35.509292358198067</v>
      </c>
      <c r="P44" s="466">
        <f t="shared" ca="1" si="27"/>
        <v>68.11175441665209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IFERROR(__xludf.DUMMYFUNCTION("IMPORTRANGE(""https://docs.google.com/spreadsheets/d/1MeEWN-I1oV_STSDYn1IFDPWt_1FKiwhDph83XaGc0o0/edit?usp=sharing"",""งบพรบ!M28"")"),548300)</f>
        <v>548300</v>
      </c>
      <c r="M46" s="93">
        <f ca="1">IFERROR(__xludf.DUMMYFUNCTION("IMPORTRANGE(""https://docs.google.com/spreadsheets/d/1MeEWN-I1oV_STSDYn1IFDPWt_1FKiwhDph83XaGc0o0/edit?usp=sharing"",""งบพรบ!R28"")"),285850)</f>
        <v>285850</v>
      </c>
      <c r="N46" s="93">
        <f ca="1">IFERROR(__xludf.DUMMYFUNCTION("IMPORTRANGE(""https://docs.google.com/spreadsheets/d/1MeEWN-I1oV_STSDYn1IFDPWt_1FKiwhDph83XaGc0o0/edit?usp=sharing"",""งบพรบ!T28"")"),194697.45)</f>
        <v>194697.45</v>
      </c>
      <c r="O46" s="93">
        <f t="shared" ca="1" si="26"/>
        <v>35.509292358198067</v>
      </c>
      <c r="P46" s="93">
        <f t="shared" ca="1" si="27"/>
        <v>68.11175441665209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IFERROR(__xludf.DUMMYFUNCTION("IMPORTRANGE(""https://docs.google.com/spreadsheets/d/1MeEWN-I1oV_STSDYn1IFDPWt_1FKiwhDph83XaGc0o0/edit?usp=sharing"",""งบพรบ!P28"")"),0)</f>
        <v>0</v>
      </c>
      <c r="M49" s="52">
        <f ca="1">IFERROR(__xludf.DUMMYFUNCTION("IMPORTRANGE(""https://docs.google.com/spreadsheets/d/1MeEWN-I1oV_STSDYn1IFDPWt_1FKiwhDph83XaGc0o0/edit?usp=sharing"",""งบพรบ!S28"")"),0)</f>
        <v>0</v>
      </c>
      <c r="N49" s="52">
        <f ca="1">IFERROR(__xludf.DUMMYFUNCTION("IMPORTRANGE(""https://docs.google.com/spreadsheets/d/1MeEWN-I1oV_STSDYn1IFDPWt_1FKiwhDph83XaGc0o0/edit?usp=sharing"",""งบพรบ!U28"")"),0)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753200</v>
      </c>
      <c r="M53" s="116">
        <f t="shared" ca="1" si="31"/>
        <v>406600</v>
      </c>
      <c r="N53" s="116">
        <f t="shared" ca="1" si="31"/>
        <v>204414.32</v>
      </c>
      <c r="O53" s="116">
        <f t="shared" ref="O53:O61" ca="1" si="32">IF(L53&gt;0,N53*100/L53,0)</f>
        <v>27.139447689856613</v>
      </c>
      <c r="P53" s="116">
        <f t="shared" ref="P53:P61" ca="1" si="33">IF(M53&gt;0,N53*100/M53,0)</f>
        <v>50.274058042302016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753200</v>
      </c>
      <c r="M55" s="123">
        <f t="shared" ca="1" si="34"/>
        <v>406600</v>
      </c>
      <c r="N55" s="123">
        <f t="shared" ca="1" si="34"/>
        <v>204414.32</v>
      </c>
      <c r="O55" s="123">
        <f t="shared" ca="1" si="32"/>
        <v>27.139447689856613</v>
      </c>
      <c r="P55" s="123">
        <f t="shared" ca="1" si="33"/>
        <v>50.274058042302016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753200</v>
      </c>
      <c r="M56" s="466">
        <f t="shared" ca="1" si="35"/>
        <v>406600</v>
      </c>
      <c r="N56" s="466">
        <f t="shared" ca="1" si="35"/>
        <v>204414.32</v>
      </c>
      <c r="O56" s="466">
        <f t="shared" ca="1" si="32"/>
        <v>27.139447689856613</v>
      </c>
      <c r="P56" s="466">
        <f t="shared" ca="1" si="33"/>
        <v>50.274058042302016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IFERROR(__xludf.DUMMYFUNCTION("IMPORTRANGE(""https://docs.google.com/spreadsheets/d/1MeEWN-I1oV_STSDYn1IFDPWt_1FKiwhDph83XaGc0o0/edit?usp=sharing"",""งบพรบ!W28"")"),753200)</f>
        <v>753200</v>
      </c>
      <c r="M58" s="93">
        <f ca="1">IFERROR(__xludf.DUMMYFUNCTION("IMPORTRANGE(""https://docs.google.com/spreadsheets/d/1MeEWN-I1oV_STSDYn1IFDPWt_1FKiwhDph83XaGc0o0/edit?usp=sharing"",""งบพรบ!AB28"")"),406600)</f>
        <v>406600</v>
      </c>
      <c r="N58" s="93">
        <f ca="1">IFERROR(__xludf.DUMMYFUNCTION("IMPORTRANGE(""https://docs.google.com/spreadsheets/d/1MeEWN-I1oV_STSDYn1IFDPWt_1FKiwhDph83XaGc0o0/edit?usp=sharing"",""งบพรบ!AD28"")"),204414.32)</f>
        <v>204414.32</v>
      </c>
      <c r="O58" s="93">
        <f t="shared" ca="1" si="32"/>
        <v>27.139447689856613</v>
      </c>
      <c r="P58" s="93">
        <f t="shared" ca="1" si="33"/>
        <v>50.274058042302016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IFERROR(__xludf.DUMMYFUNCTION("IMPORTRANGE(""https://docs.google.com/spreadsheets/d/1MeEWN-I1oV_STSDYn1IFDPWt_1FKiwhDph83XaGc0o0/edit?usp=sharing"",""งบพรบ!Z28"")"),0)</f>
        <v>0</v>
      </c>
      <c r="M61" s="52">
        <f ca="1">IFERROR(__xludf.DUMMYFUNCTION("IMPORTRANGE(""https://docs.google.com/spreadsheets/d/1MeEWN-I1oV_STSDYn1IFDPWt_1FKiwhDph83XaGc0o0/edit?usp=sharing"",""งบพรบ!AC28"")"),0)</f>
        <v>0</v>
      </c>
      <c r="N61" s="52">
        <f ca="1">IFERROR(__xludf.DUMMYFUNCTION("IMPORTRANGE(""https://docs.google.com/spreadsheets/d/1MeEWN-I1oV_STSDYn1IFDPWt_1FKiwhDph83XaGc0o0/edit?usp=sharing"",""งบพรบ!AE28"")"),0)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105</v>
      </c>
      <c r="J65" s="144">
        <f t="shared" si="37"/>
        <v>105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1493400</v>
      </c>
      <c r="M66" s="155">
        <f t="shared" ca="1" si="39"/>
        <v>727700</v>
      </c>
      <c r="N66" s="155">
        <f t="shared" ca="1" si="39"/>
        <v>282832.87</v>
      </c>
      <c r="O66" s="155">
        <f t="shared" ref="O66:O74" ca="1" si="40">IF(L66&gt;0,N66*100/L66,0)</f>
        <v>18.938855631445026</v>
      </c>
      <c r="P66" s="155">
        <f t="shared" ref="P66:P74" ca="1" si="41">IF(M66&gt;0,N66*100/M66,0)</f>
        <v>38.866685447299709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1493400</v>
      </c>
      <c r="M68" s="93">
        <f t="shared" ca="1" si="42"/>
        <v>727700</v>
      </c>
      <c r="N68" s="93">
        <f t="shared" ca="1" si="42"/>
        <v>282832.87</v>
      </c>
      <c r="O68" s="93">
        <f t="shared" ca="1" si="40"/>
        <v>18.938855631445026</v>
      </c>
      <c r="P68" s="93">
        <f t="shared" ca="1" si="41"/>
        <v>38.866685447299709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1493400</v>
      </c>
      <c r="M69" s="466">
        <f t="shared" ca="1" si="43"/>
        <v>727700</v>
      </c>
      <c r="N69" s="466">
        <f t="shared" ca="1" si="43"/>
        <v>282832.87</v>
      </c>
      <c r="O69" s="466">
        <f t="shared" ca="1" si="40"/>
        <v>18.938855631445026</v>
      </c>
      <c r="P69" s="466">
        <f t="shared" ca="1" si="41"/>
        <v>38.866685447299709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IFERROR(__xludf.DUMMYFUNCTION("IMPORTRANGE(""https://docs.google.com/spreadsheets/d/1MeEWN-I1oV_STSDYn1IFDPWt_1FKiwhDph83XaGc0o0/edit?usp=sharing"",""งบพรบ!AG28"")"),1493400)</f>
        <v>1493400</v>
      </c>
      <c r="M71" s="93">
        <f ca="1">IFERROR(__xludf.DUMMYFUNCTION("IMPORTRANGE(""https://docs.google.com/spreadsheets/d/1MeEWN-I1oV_STSDYn1IFDPWt_1FKiwhDph83XaGc0o0/edit?usp=sharing"",""งบพรบ!AL28"")"),727700)</f>
        <v>727700</v>
      </c>
      <c r="N71" s="93">
        <f ca="1">IFERROR(__xludf.DUMMYFUNCTION("IMPORTRANGE(""https://docs.google.com/spreadsheets/d/1MeEWN-I1oV_STSDYn1IFDPWt_1FKiwhDph83XaGc0o0/edit?usp=sharing"",""งบพรบ!AN28"")"),282832.87)</f>
        <v>282832.87</v>
      </c>
      <c r="O71" s="93">
        <f t="shared" ca="1" si="40"/>
        <v>18.938855631445026</v>
      </c>
      <c r="P71" s="93">
        <f t="shared" ca="1" si="41"/>
        <v>38.866685447299709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IFERROR(__xludf.DUMMYFUNCTION("IMPORTRANGE(""https://docs.google.com/spreadsheets/d/1MeEWN-I1oV_STSDYn1IFDPWt_1FKiwhDph83XaGc0o0/edit?usp=sharing"",""งบพรบ!AJ28"")"),0)</f>
        <v>0</v>
      </c>
      <c r="M74" s="93">
        <f ca="1">IFERROR(__xludf.DUMMYFUNCTION("IMPORTRANGE(""https://docs.google.com/spreadsheets/d/1MeEWN-I1oV_STSDYn1IFDPWt_1FKiwhDph83XaGc0o0/edit?usp=sharing"",""งบพรบ!AM28"")"),0)</f>
        <v>0</v>
      </c>
      <c r="N74" s="93">
        <f ca="1">IFERROR(__xludf.DUMMYFUNCTION("IMPORTRANGE(""https://docs.google.com/spreadsheets/d/1MeEWN-I1oV_STSDYn1IFDPWt_1FKiwhDph83XaGc0o0/edit?usp=sharing"",""งบพรบ!AO28"")"),0)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105</v>
      </c>
      <c r="J77" s="270">
        <f t="shared" si="45"/>
        <v>105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IFERROR(__xludf.DUMMYFUNCTION("IMPORTRANGE(""https://docs.google.com/spreadsheets/d/1QqKyyYR6Q21VydFLVH3TRQUabQu_ym0Zz7PgGX0-kHA/edit?usp=sharing"",""แผน!E28"")"),75)</f>
        <v>75</v>
      </c>
      <c r="J83" s="215">
        <v>75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IFERROR(__xludf.DUMMYFUNCTION("IMPORTRANGE(""https://docs.google.com/spreadsheets/d/1QqKyyYR6Q21VydFLVH3TRQUabQu_ym0Zz7PgGX0-kHA/edit?usp=sharing"",""แผน!J28"")"),2)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136720</v>
      </c>
      <c r="M88" s="155">
        <f t="shared" ca="1" si="49"/>
        <v>68520</v>
      </c>
      <c r="N88" s="155">
        <f t="shared" ca="1" si="49"/>
        <v>65520</v>
      </c>
      <c r="O88" s="155">
        <f t="shared" ref="O88:O96" ca="1" si="50">IF(L88&gt;0,N88*100/L88,0)</f>
        <v>47.922761849034522</v>
      </c>
      <c r="P88" s="155">
        <f t="shared" ref="P88:P96" ca="1" si="51">IF(M88&gt;0,N88*100/M88,0)</f>
        <v>95.621716287215406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136720</v>
      </c>
      <c r="M90" s="93">
        <f t="shared" ca="1" si="52"/>
        <v>68520</v>
      </c>
      <c r="N90" s="93">
        <f t="shared" ca="1" si="52"/>
        <v>65520</v>
      </c>
      <c r="O90" s="93">
        <f t="shared" ca="1" si="50"/>
        <v>47.922761849034522</v>
      </c>
      <c r="P90" s="93">
        <f t="shared" ca="1" si="51"/>
        <v>95.621716287215406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136720</v>
      </c>
      <c r="M91" s="466">
        <f t="shared" ca="1" si="53"/>
        <v>68520</v>
      </c>
      <c r="N91" s="466">
        <f t="shared" ca="1" si="53"/>
        <v>65520</v>
      </c>
      <c r="O91" s="466">
        <f t="shared" ca="1" si="50"/>
        <v>47.922761849034522</v>
      </c>
      <c r="P91" s="466">
        <f t="shared" ca="1" si="51"/>
        <v>95.621716287215406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IFERROR(__xludf.DUMMYFUNCTION("IMPORTRANGE(""https://docs.google.com/spreadsheets/d/1MeEWN-I1oV_STSDYn1IFDPWt_1FKiwhDph83XaGc0o0/edit?usp=sharing"",""งบพรบ!AQ28"")"),136720)</f>
        <v>136720</v>
      </c>
      <c r="M93" s="93">
        <f ca="1">IFERROR(__xludf.DUMMYFUNCTION("IMPORTRANGE(""https://docs.google.com/spreadsheets/d/1MeEWN-I1oV_STSDYn1IFDPWt_1FKiwhDph83XaGc0o0/edit?usp=sharing"",""งบพรบ!AV28"")"),68520)</f>
        <v>68520</v>
      </c>
      <c r="N93" s="93">
        <f ca="1">IFERROR(__xludf.DUMMYFUNCTION("IMPORTRANGE(""https://docs.google.com/spreadsheets/d/1MeEWN-I1oV_STSDYn1IFDPWt_1FKiwhDph83XaGc0o0/edit?usp=sharing"",""งบพรบ!AX28"")"),65520)</f>
        <v>65520</v>
      </c>
      <c r="O93" s="93">
        <f t="shared" ca="1" si="50"/>
        <v>47.922761849034522</v>
      </c>
      <c r="P93" s="93">
        <f t="shared" ca="1" si="51"/>
        <v>95.621716287215406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IFERROR(__xludf.DUMMYFUNCTION("IMPORTRANGE(""https://docs.google.com/spreadsheets/d/1MeEWN-I1oV_STSDYn1IFDPWt_1FKiwhDph83XaGc0o0/edit?usp=sharing"",""งบพรบ!AT28"")"),0)</f>
        <v>0</v>
      </c>
      <c r="M96" s="93">
        <f ca="1">IFERROR(__xludf.DUMMYFUNCTION("IMPORTRANGE(""https://docs.google.com/spreadsheets/d/1MeEWN-I1oV_STSDYn1IFDPWt_1FKiwhDph83XaGc0o0/edit?usp=sharing"",""งบพรบ!AW28"")"),0)</f>
        <v>0</v>
      </c>
      <c r="N96" s="93">
        <f ca="1">IFERROR(__xludf.DUMMYFUNCTION("IMPORTRANGE(""https://docs.google.com/spreadsheets/d/1MeEWN-I1oV_STSDYn1IFDPWt_1FKiwhDph83XaGc0o0/edit?usp=sharing"",""งบพรบ!AY28"")"),0)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IFERROR(__xludf.DUMMYFUNCTION("IMPORTRANGE(""https://docs.google.com/spreadsheets/d/1QqKyyYR6Q21VydFLVH3TRQUabQu_ym0Zz7PgGX0-kHA/edit?usp=sharing"",""แผน!K28"")"),90)</f>
        <v>90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IFERROR(__xludf.DUMMYFUNCTION("IMPORTRANGE(""https://docs.google.com/spreadsheets/d/1QqKyyYR6Q21VydFLVH3TRQUabQu_ym0Zz7PgGX0-kHA/edit?usp=sharing"",""แผน!L28"")"),30)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IFERROR(__xludf.DUMMYFUNCTION("IMPORTRANGE(""https://docs.google.com/spreadsheets/d/1QqKyyYR6Q21VydFLVH3TRQUabQu_ym0Zz7PgGX0-kHA/edit?usp=sharing"",""แผน!M28"")"),2)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IFERROR(__xludf.DUMMYFUNCTION("IMPORTRANGE(""https://docs.google.com/spreadsheets/d/1QqKyyYR6Q21VydFLVH3TRQUabQu_ym0Zz7PgGX0-kHA/edit?usp=sharing"",""แผน!N28"")"),90)</f>
        <v>90</v>
      </c>
      <c r="J102" s="215">
        <v>0</v>
      </c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IFERROR(__xludf.DUMMYFUNCTION("IMPORTRANGE(""https://docs.google.com/spreadsheets/d/1QqKyyYR6Q21VydFLVH3TRQUabQu_ym0Zz7PgGX0-kHA/edit?usp=sharing"",""แผน!O28"")"),30)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IFERROR(__xludf.DUMMYFUNCTION("IMPORTRANGE(""https://docs.google.com/spreadsheets/d/1QqKyyYR6Q21VydFLVH3TRQUabQu_ym0Zz7PgGX0-kHA/edit?usp=sharing"",""แผน!O28"")"),30)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IFERROR(__xludf.DUMMYFUNCTION("IMPORTRANGE(""https://docs.google.com/spreadsheets/d/1QqKyyYR6Q21VydFLVH3TRQUabQu_ym0Zz7PgGX0-kHA/edit?usp=sharing"",""แผน!P28"")"),1)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IFERROR(__xludf.DUMMYFUNCTION("IMPORTRANGE(""https://docs.google.com/spreadsheets/d/1QqKyyYR6Q21VydFLVH3TRQUabQu_ym0Zz7PgGX0-kHA/edit?usp=sharing"",""แผน!P28"")"),1)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IFERROR(__xludf.DUMMYFUNCTION("IMPORTRANGE(""https://docs.google.com/spreadsheets/d/1QqKyyYR6Q21VydFLVH3TRQUabQu_ym0Zz7PgGX0-kHA/edit?usp=sharing"",""แผน!Q28"")"),1)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IFERROR(__xludf.DUMMYFUNCTION("IMPORTRANGE(""https://docs.google.com/spreadsheets/d/1QqKyyYR6Q21VydFLVH3TRQUabQu_ym0Zz7PgGX0-kHA/edit?usp=sharing"",""แผน!Q28"")"),1)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IFERROR(__xludf.DUMMYFUNCTION("IMPORTRANGE(""https://docs.google.com/spreadsheets/d/1QqKyyYR6Q21VydFLVH3TRQUabQu_ym0Zz7PgGX0-kHA/edit?usp=sharing"",""แผน!R28"")"),30)</f>
        <v>30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IFERROR(__xludf.DUMMYFUNCTION("IMPORTRANGE(""https://docs.google.com/spreadsheets/d/1QqKyyYR6Q21VydFLVH3TRQUabQu_ym0Zz7PgGX0-kHA/edit?usp=sharing"",""แผน!R28"")"),30)</f>
        <v>30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IFERROR(__xludf.DUMMYFUNCTION("IMPORTRANGE(""https://docs.google.com/spreadsheets/d/1QqKyyYR6Q21VydFLVH3TRQUabQu_ym0Zz7PgGX0-kHA/edit?usp=sharing"",""แผน!R28"")"),30)</f>
        <v>30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245300</v>
      </c>
      <c r="M119" s="155">
        <f t="shared" ca="1" si="60"/>
        <v>245250</v>
      </c>
      <c r="N119" s="155">
        <f t="shared" ca="1" si="60"/>
        <v>245250</v>
      </c>
      <c r="O119" s="155">
        <f t="shared" ref="O119:O127" ca="1" si="61">IF(L119&gt;0,N119*100/L119,0)</f>
        <v>99.979616795760293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245300</v>
      </c>
      <c r="M121" s="93">
        <f t="shared" ca="1" si="63"/>
        <v>245250</v>
      </c>
      <c r="N121" s="93">
        <f t="shared" ca="1" si="63"/>
        <v>245250</v>
      </c>
      <c r="O121" s="93">
        <f t="shared" ca="1" si="61"/>
        <v>99.979616795760293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IFERROR(__xludf.DUMMYFUNCTION("IMPORTRANGE(""https://docs.google.com/spreadsheets/d/1MeEWN-I1oV_STSDYn1IFDPWt_1FKiwhDph83XaGc0o0/edit?usp=sharing"",""งบพรบ!BA28"")"),0)</f>
        <v>0</v>
      </c>
      <c r="M124" s="93">
        <f ca="1">IFERROR(__xludf.DUMMYFUNCTION("IMPORTRANGE(""https://docs.google.com/spreadsheets/d/1MeEWN-I1oV_STSDYn1IFDPWt_1FKiwhDph83XaGc0o0/edit?usp=sharing"",""งบพรบ!BF28"")"),0)</f>
        <v>0</v>
      </c>
      <c r="N124" s="93">
        <f ca="1">IFERROR(__xludf.DUMMYFUNCTION("IMPORTRANGE(""https://docs.google.com/spreadsheets/d/1MeEWN-I1oV_STSDYn1IFDPWt_1FKiwhDph83XaGc0o0/edit?usp=sharing"",""งบพรบ!BH28"")"),0)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245300</v>
      </c>
      <c r="M125" s="466">
        <f t="shared" ca="1" si="65"/>
        <v>245250</v>
      </c>
      <c r="N125" s="466">
        <f t="shared" ca="1" si="65"/>
        <v>245250</v>
      </c>
      <c r="O125" s="466">
        <f t="shared" ca="1" si="61"/>
        <v>99.979616795760293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IFERROR(__xludf.DUMMYFUNCTION("IMPORTRANGE(""https://docs.google.com/spreadsheets/d/1MeEWN-I1oV_STSDYn1IFDPWt_1FKiwhDph83XaGc0o0/edit?usp=sharing"",""งบพรบ!BD28"")"),245300)</f>
        <v>245300</v>
      </c>
      <c r="M127" s="93">
        <f ca="1">IFERROR(__xludf.DUMMYFUNCTION("IMPORTRANGE(""https://docs.google.com/spreadsheets/d/1MeEWN-I1oV_STSDYn1IFDPWt_1FKiwhDph83XaGc0o0/edit?usp=sharing"",""งบพรบ!BG28"")"),245250)</f>
        <v>245250</v>
      </c>
      <c r="N127" s="93">
        <f ca="1">IFERROR(__xludf.DUMMYFUNCTION("IMPORTRANGE(""https://docs.google.com/spreadsheets/d/1MeEWN-I1oV_STSDYn1IFDPWt_1FKiwhDph83XaGc0o0/edit?usp=sharing"",""งบพรบ!BI28"")"),245250)</f>
        <v>245250</v>
      </c>
      <c r="O127" s="93">
        <f t="shared" ca="1" si="61"/>
        <v>99.979616795760293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IFERROR(__xludf.DUMMYFUNCTION("IMPORTRANGE(""https://docs.google.com/spreadsheets/d/1MeEWN-I1oV_STSDYn1IFDPWt_1FKiwhDph83XaGc0o0/edit?usp=sharing"",""งบพรบ!BK28"")"),0)</f>
        <v>0</v>
      </c>
      <c r="M137" s="93">
        <f ca="1">IFERROR(__xludf.DUMMYFUNCTION("IMPORTRANGE(""https://docs.google.com/spreadsheets/d/1MeEWN-I1oV_STSDYn1IFDPWt_1FKiwhDph83XaGc0o0/edit?usp=sharing"",""งบพรบ!BP28"")"),0)</f>
        <v>0</v>
      </c>
      <c r="N137" s="93">
        <f ca="1">IFERROR(__xludf.DUMMYFUNCTION("IMPORTRANGE(""https://docs.google.com/spreadsheets/d/1MeEWN-I1oV_STSDYn1IFDPWt_1FKiwhDph83XaGc0o0/edit?usp=sharing"",""งบพรบ!BR28"")"),0)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IFERROR(__xludf.DUMMYFUNCTION("IMPORTRANGE(""https://docs.google.com/spreadsheets/d/1MeEWN-I1oV_STSDYn1IFDPWt_1FKiwhDph83XaGc0o0/edit?usp=sharing"",""งบพรบ!BN28"")"),0)</f>
        <v>0</v>
      </c>
      <c r="M140" s="93">
        <f ca="1">IFERROR(__xludf.DUMMYFUNCTION("IMPORTRANGE(""https://docs.google.com/spreadsheets/d/1MeEWN-I1oV_STSDYn1IFDPWt_1FKiwhDph83XaGc0o0/edit?usp=sharing"",""งบพรบ!BQ28"")"),0)</f>
        <v>0</v>
      </c>
      <c r="N140" s="93">
        <f ca="1">IFERROR(__xludf.DUMMYFUNCTION("IMPORTRANGE(""https://docs.google.com/spreadsheets/d/1MeEWN-I1oV_STSDYn1IFDPWt_1FKiwhDph83XaGc0o0/edit?usp=sharing"",""งบพรบ!BS28"")"),0)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IFERROR(__xludf.DUMMYFUNCTION("IMPORTRANGE(""https://docs.google.com/spreadsheets/d/1QqKyyYR6Q21VydFLVH3TRQUabQu_ym0Zz7PgGX0-kHA/edit?usp=sharing"",""แผน!U28"")"),0)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IFERROR(__xludf.DUMMYFUNCTION("IMPORTRANGE(""https://docs.google.com/spreadsheets/d/1QqKyyYR6Q21VydFLVH3TRQUabQu_ym0Zz7PgGX0-kHA/edit?usp=sharing"",""แผน!V28"")"),0)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IFERROR(__xludf.DUMMYFUNCTION("IMPORTRANGE(""https://docs.google.com/spreadsheets/d/1QqKyyYR6Q21VydFLVH3TRQUabQu_ym0Zz7PgGX0-kHA/edit?usp=sharing"",""แผน!W28"")"),0)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80</v>
      </c>
      <c r="K148" s="145">
        <f ca="1">IF(I148&gt;0,J148*100/I148,0)</f>
        <v>400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186580</v>
      </c>
      <c r="N149" s="155">
        <f t="shared" ca="1" si="77"/>
        <v>50621.29</v>
      </c>
      <c r="O149" s="155">
        <f t="shared" ref="O149:O157" ca="1" si="78">IF(L149&gt;0,N149*100/L149,0)</f>
        <v>506.21289999999999</v>
      </c>
      <c r="P149" s="155">
        <f t="shared" ref="P149:P157" ca="1" si="79">IF(M149&gt;0,N149*100/M149,0)</f>
        <v>27.131144817236574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186580</v>
      </c>
      <c r="N151" s="93">
        <f t="shared" ca="1" si="80"/>
        <v>50621.29</v>
      </c>
      <c r="O151" s="93">
        <f t="shared" ca="1" si="78"/>
        <v>506.21289999999999</v>
      </c>
      <c r="P151" s="93">
        <f t="shared" ca="1" si="79"/>
        <v>27.131144817236574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186580</v>
      </c>
      <c r="N152" s="466">
        <f t="shared" ca="1" si="81"/>
        <v>50621.29</v>
      </c>
      <c r="O152" s="466">
        <f t="shared" ca="1" si="78"/>
        <v>506.21289999999999</v>
      </c>
      <c r="P152" s="466">
        <f t="shared" ca="1" si="79"/>
        <v>27.131144817236574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IFERROR(__xludf.DUMMYFUNCTION("IMPORTRANGE(""https://docs.google.com/spreadsheets/d/1MeEWN-I1oV_STSDYn1IFDPWt_1FKiwhDph83XaGc0o0/edit?usp=sharing"",""งบพรบ!BU28"")"),10000)</f>
        <v>10000</v>
      </c>
      <c r="M154" s="93">
        <f ca="1">IFERROR(__xludf.DUMMYFUNCTION("IMPORTRANGE(""https://docs.google.com/spreadsheets/d/1MeEWN-I1oV_STSDYn1IFDPWt_1FKiwhDph83XaGc0o0/edit?usp=sharing"",""งบพรบ!BZ28"")"),186580)</f>
        <v>186580</v>
      </c>
      <c r="N154" s="93">
        <f ca="1">IFERROR(__xludf.DUMMYFUNCTION("IMPORTRANGE(""https://docs.google.com/spreadsheets/d/1MeEWN-I1oV_STSDYn1IFDPWt_1FKiwhDph83XaGc0o0/edit?usp=sharing"",""งบพรบ!CB28"")"),50621.29)</f>
        <v>50621.29</v>
      </c>
      <c r="O154" s="93">
        <f t="shared" ca="1" si="78"/>
        <v>506.21289999999999</v>
      </c>
      <c r="P154" s="93">
        <f t="shared" ca="1" si="79"/>
        <v>27.131144817236574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IFERROR(__xludf.DUMMYFUNCTION("IMPORTRANGE(""https://docs.google.com/spreadsheets/d/1MeEWN-I1oV_STSDYn1IFDPWt_1FKiwhDph83XaGc0o0/edit?usp=sharing"",""งบพรบ!BX28"")"),0)</f>
        <v>0</v>
      </c>
      <c r="M157" s="93">
        <f ca="1">IFERROR(__xludf.DUMMYFUNCTION("IMPORTRANGE(""https://docs.google.com/spreadsheets/d/1MeEWN-I1oV_STSDYn1IFDPWt_1FKiwhDph83XaGc0o0/edit?usp=sharing"",""งบพรบ!CA28"")"),0)</f>
        <v>0</v>
      </c>
      <c r="N157" s="93">
        <f ca="1">IFERROR(__xludf.DUMMYFUNCTION("IMPORTRANGE(""https://docs.google.com/spreadsheets/d/1MeEWN-I1oV_STSDYn1IFDPWt_1FKiwhDph83XaGc0o0/edit?usp=sharing"",""งบพรบ!CC28"")"),0)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IFERROR(__xludf.DUMMYFUNCTION("IMPORTRANGE(""https://docs.google.com/spreadsheets/d/1QqKyyYR6Q21VydFLVH3TRQUabQu_ym0Zz7PgGX0-kHA/edit?usp=sharing"",""แผน!X28"")"),20)</f>
        <v>20</v>
      </c>
      <c r="J159" s="215">
        <v>80</v>
      </c>
      <c r="K159" s="466">
        <f ca="1">IF(I159&gt;0,J159*100/I159,0)</f>
        <v>400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22055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IFERROR(__xludf.DUMMYFUNCTION("IMPORTRANGE(""https://docs.google.com/spreadsheets/d/1MeEWN-I1oV_STSDYn1IFDPWt_1FKiwhDph83XaGc0o0/edit?usp=sharing"",""งบพรบ!CE28"")"),22055)</f>
        <v>22055</v>
      </c>
      <c r="M170" s="93">
        <f ca="1">IFERROR(__xludf.DUMMYFUNCTION("IMPORTRANGE(""https://docs.google.com/spreadsheets/d/1MeEWN-I1oV_STSDYn1IFDPWt_1FKiwhDph83XaGc0o0/edit?usp=sharing"",""งบพรบ!CJ28"")"),22055)</f>
        <v>22055</v>
      </c>
      <c r="N170" s="93">
        <f ca="1">IFERROR(__xludf.DUMMYFUNCTION("IMPORTRANGE(""https://docs.google.com/spreadsheets/d/1MeEWN-I1oV_STSDYn1IFDPWt_1FKiwhDph83XaGc0o0/edit?usp=sharing"",""งบพรบ!CL28"")"),22055)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IFERROR(__xludf.DUMMYFUNCTION("IMPORTRANGE(""https://docs.google.com/spreadsheets/d/1MeEWN-I1oV_STSDYn1IFDPWt_1FKiwhDph83XaGc0o0/edit?usp=sharing"",""งบพรบ!CH28"")"),0)</f>
        <v>0</v>
      </c>
      <c r="M173" s="93">
        <f ca="1">IFERROR(__xludf.DUMMYFUNCTION("IMPORTRANGE(""https://docs.google.com/spreadsheets/d/1MeEWN-I1oV_STSDYn1IFDPWt_1FKiwhDph83XaGc0o0/edit?usp=sharing"",""งบพรบ!CK28"")"),0)</f>
        <v>0</v>
      </c>
      <c r="N173" s="93">
        <f ca="1">IFERROR(__xludf.DUMMYFUNCTION("IMPORTRANGE(""https://docs.google.com/spreadsheets/d/1MeEWN-I1oV_STSDYn1IFDPWt_1FKiwhDph83XaGc0o0/edit?usp=sharing"",""งบพรบ!CM28"")"),0)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76500</v>
      </c>
      <c r="M181" s="155">
        <f t="shared" ca="1" si="92"/>
        <v>39000</v>
      </c>
      <c r="N181" s="155">
        <f t="shared" ca="1" si="92"/>
        <v>1240</v>
      </c>
      <c r="O181" s="155">
        <f t="shared" ref="O181:O189" ca="1" si="93">IF(L181&gt;0,N181*100/L181,0)</f>
        <v>1.6209150326797386</v>
      </c>
      <c r="P181" s="155">
        <f t="shared" ref="P181:P189" ca="1" si="94">IF(M181&gt;0,N181*100/M181,0)</f>
        <v>3.1794871794871793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76500</v>
      </c>
      <c r="M183" s="93">
        <f t="shared" ca="1" si="95"/>
        <v>39000</v>
      </c>
      <c r="N183" s="93">
        <f t="shared" ca="1" si="95"/>
        <v>1240</v>
      </c>
      <c r="O183" s="93">
        <f t="shared" ca="1" si="93"/>
        <v>1.6209150326797386</v>
      </c>
      <c r="P183" s="93">
        <f t="shared" ca="1" si="94"/>
        <v>3.1794871794871793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76500</v>
      </c>
      <c r="M184" s="466">
        <f t="shared" ca="1" si="96"/>
        <v>39000</v>
      </c>
      <c r="N184" s="466">
        <f t="shared" ca="1" si="96"/>
        <v>1240</v>
      </c>
      <c r="O184" s="466">
        <f t="shared" ca="1" si="93"/>
        <v>1.6209150326797386</v>
      </c>
      <c r="P184" s="466">
        <f t="shared" ca="1" si="94"/>
        <v>3.1794871794871793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IFERROR(__xludf.DUMMYFUNCTION("IMPORTRANGE(""https://docs.google.com/spreadsheets/d/1MeEWN-I1oV_STSDYn1IFDPWt_1FKiwhDph83XaGc0o0/edit?usp=sharing"",""งบพรบ!CO28"")"),76500)</f>
        <v>76500</v>
      </c>
      <c r="M186" s="93">
        <f ca="1">IFERROR(__xludf.DUMMYFUNCTION("IMPORTRANGE(""https://docs.google.com/spreadsheets/d/1MeEWN-I1oV_STSDYn1IFDPWt_1FKiwhDph83XaGc0o0/edit?usp=sharing"",""งบพรบ!CT28"")"),39000)</f>
        <v>39000</v>
      </c>
      <c r="N186" s="93">
        <f ca="1">IFERROR(__xludf.DUMMYFUNCTION("IMPORTRANGE(""https://docs.google.com/spreadsheets/d/1MeEWN-I1oV_STSDYn1IFDPWt_1FKiwhDph83XaGc0o0/edit?usp=sharing"",""งบพรบ!CV28"")"),1240)</f>
        <v>1240</v>
      </c>
      <c r="O186" s="93">
        <f t="shared" ca="1" si="93"/>
        <v>1.6209150326797386</v>
      </c>
      <c r="P186" s="93">
        <f t="shared" ca="1" si="94"/>
        <v>3.1794871794871793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IFERROR(__xludf.DUMMYFUNCTION("IMPORTRANGE(""https://docs.google.com/spreadsheets/d/1MeEWN-I1oV_STSDYn1IFDPWt_1FKiwhDph83XaGc0o0/edit?usp=sharing"",""งบพรบ!CR28"")"),0)</f>
        <v>0</v>
      </c>
      <c r="M189" s="93">
        <f ca="1">IFERROR(__xludf.DUMMYFUNCTION("IMPORTRANGE(""https://docs.google.com/spreadsheets/d/1MeEWN-I1oV_STSDYn1IFDPWt_1FKiwhDph83XaGc0o0/edit?usp=sharing"",""งบพรบ!CU28"")"),0)</f>
        <v>0</v>
      </c>
      <c r="N189" s="93">
        <f ca="1">IFERROR(__xludf.DUMMYFUNCTION("IMPORTRANGE(""https://docs.google.com/spreadsheets/d/1MeEWN-I1oV_STSDYn1IFDPWt_1FKiwhDph83XaGc0o0/edit?usp=sharing"",""งบพรบ!CW28"")"),0)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IFERROR(__xludf.DUMMYFUNCTION("IMPORTRANGE(""https://docs.google.com/spreadsheets/d/1QqKyyYR6Q21VydFLVH3TRQUabQu_ym0Zz7PgGX0-kHA/edit?usp=sharing"",""แผน!Z28"")"),6000)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IFERROR(__xludf.DUMMYFUNCTION("IMPORTRANGE(""https://docs.google.com/spreadsheets/d/1QqKyyYR6Q21VydFLVH3TRQUabQu_ym0Zz7PgGX0-kHA/edit?usp=sharing"",""แผน!AC28"")"),4)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44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44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IFERROR(__xludf.DUMMYFUNCTION("IMPORTRANGE(""https://docs.google.com/spreadsheets/d/1QqKyyYR6Q21VydFLVH3TRQUabQu_ym0Zz7PgGX0-kHA/edit?usp=sharing"",""แผน!AE28"")"),4000)</f>
        <v>4000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IFERROR(__xludf.DUMMYFUNCTION("IMPORTRANGE(""https://docs.google.com/spreadsheets/d/1QqKyyYR6Q21VydFLVH3TRQUabQu_ym0Zz7PgGX0-kHA/edit?usp=sharing"",""แผน!AF28"")"),32000)</f>
        <v>32000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IFERROR(__xludf.DUMMYFUNCTION("IMPORTRANGE(""https://docs.google.com/spreadsheets/d/1QqKyyYR6Q21VydFLVH3TRQUabQu_ym0Zz7PgGX0-kHA/edit?usp=sharing"",""แผน!AG28"")"),16000)</f>
        <v>16000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IFERROR(__xludf.DUMMYFUNCTION("IMPORTRANGE(""https://docs.google.com/spreadsheets/d/1QqKyyYR6Q21VydFLVH3TRQUabQu_ym0Zz7PgGX0-kHA/edit?usp=sharing"",""แผน!AH28"")"),0)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IFERROR(__xludf.DUMMYFUNCTION("IMPORTRANGE(""https://docs.google.com/spreadsheets/d/1QqKyyYR6Q21VydFLVH3TRQUabQu_ym0Zz7PgGX0-kHA/edit?usp=sharing"",""แผน!AI28"")"),4)</f>
        <v>4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IFERROR(__xludf.DUMMYFUNCTION("IMPORTRANGE(""https://docs.google.com/spreadsheets/d/1QqKyyYR6Q21VydFLVH3TRQUabQu_ym0Zz7PgGX0-kHA/edit?usp=sharing"",""แผน!AK28"")"),0)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IFERROR(__xludf.DUMMYFUNCTION("IMPORTRANGE(""https://docs.google.com/spreadsheets/d/1QqKyyYR6Q21VydFLVH3TRQUabQu_ym0Zz7PgGX0-kHA/edit?usp=sharing"",""แผน!AL28"")"),0)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IFERROR(__xludf.DUMMYFUNCTION("IMPORTRANGE(""https://docs.google.com/spreadsheets/d/1QqKyyYR6Q21VydFLVH3TRQUabQu_ym0Zz7PgGX0-kHA/edit?usp=sharing"",""แผน!AM28"")"),0)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IFERROR(__xludf.DUMMYFUNCTION("IMPORTRANGE(""https://docs.google.com/spreadsheets/d/1QqKyyYR6Q21VydFLVH3TRQUabQu_ym0Zz7PgGX0-kHA/edit?usp=sharing"",""แผน!AP28"")"),5000)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IFERROR(__xludf.DUMMYFUNCTION("IMPORTRANGE(""https://docs.google.com/spreadsheets/d/1QqKyyYR6Q21VydFLVH3TRQUabQu_ym0Zz7PgGX0-kHA/edit?usp=sharing"",""แผน!AQ28"")"),13500)</f>
        <v>13500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IFERROR(__xludf.DUMMYFUNCTION("IMPORTRANGE(""https://docs.google.com/spreadsheets/d/1QqKyyYR6Q21VydFLVH3TRQUabQu_ym0Zz7PgGX0-kHA/edit?usp=sharing"",""แผน!AR28"")"),0)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IFERROR(__xludf.DUMMYFUNCTION("IMPORTRANGE(""https://docs.google.com/spreadsheets/d/1QqKyyYR6Q21VydFLVH3TRQUabQu_ym0Zz7PgGX0-kHA/edit?usp=sharing"",""แผน!AT28"")"),50000)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24830</v>
      </c>
      <c r="O261" s="155">
        <f t="shared" ref="O261:O269" ca="1" si="117">IF(L261&gt;0,N261*100/L261,0)</f>
        <v>80.879478827361567</v>
      </c>
      <c r="P261" s="155">
        <f t="shared" ref="P261:P269" ca="1" si="118">IF(M261&gt;0,N261*100/M261,0)</f>
        <v>89.638989169675085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24830</v>
      </c>
      <c r="O263" s="93">
        <f t="shared" ca="1" si="117"/>
        <v>80.879478827361567</v>
      </c>
      <c r="P263" s="93">
        <f t="shared" ca="1" si="118"/>
        <v>89.638989169675085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24830</v>
      </c>
      <c r="O264" s="466">
        <f t="shared" ca="1" si="117"/>
        <v>80.879478827361567</v>
      </c>
      <c r="P264" s="466">
        <f t="shared" ca="1" si="118"/>
        <v>89.638989169675085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IFERROR(__xludf.DUMMYFUNCTION("IMPORTRANGE(""https://docs.google.com/spreadsheets/d/1MeEWN-I1oV_STSDYn1IFDPWt_1FKiwhDph83XaGc0o0/edit?usp=sharing"",""งบพรบ!CY28"")"),30700)</f>
        <v>30700</v>
      </c>
      <c r="M266" s="93">
        <f ca="1">IFERROR(__xludf.DUMMYFUNCTION("IMPORTRANGE(""https://docs.google.com/spreadsheets/d/1MeEWN-I1oV_STSDYn1IFDPWt_1FKiwhDph83XaGc0o0/edit?usp=sharing"",""งบพรบ!DD28"")"),27700)</f>
        <v>27700</v>
      </c>
      <c r="N266" s="93">
        <f ca="1">IFERROR(__xludf.DUMMYFUNCTION("IMPORTRANGE(""https://docs.google.com/spreadsheets/d/1MeEWN-I1oV_STSDYn1IFDPWt_1FKiwhDph83XaGc0o0/edit?usp=sharing"",""งบพรบ!DF28"")"),24830)</f>
        <v>24830</v>
      </c>
      <c r="O266" s="93">
        <f t="shared" ca="1" si="117"/>
        <v>80.879478827361567</v>
      </c>
      <c r="P266" s="93">
        <f t="shared" ca="1" si="118"/>
        <v>89.638989169675085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IFERROR(__xludf.DUMMYFUNCTION("IMPORTRANGE(""https://docs.google.com/spreadsheets/d/1MeEWN-I1oV_STSDYn1IFDPWt_1FKiwhDph83XaGc0o0/edit?usp=sharing"",""งบพรบ!DB28"")"),0)</f>
        <v>0</v>
      </c>
      <c r="M269" s="93">
        <f ca="1">IFERROR(__xludf.DUMMYFUNCTION("IMPORTRANGE(""https://docs.google.com/spreadsheets/d/1MeEWN-I1oV_STSDYn1IFDPWt_1FKiwhDph83XaGc0o0/edit?usp=sharing"",""งบพรบ!DE28"")"),0)</f>
        <v>0</v>
      </c>
      <c r="N269" s="93">
        <f ca="1">IFERROR(__xludf.DUMMYFUNCTION("IMPORTRANGE(""https://docs.google.com/spreadsheets/d/1MeEWN-I1oV_STSDYn1IFDPWt_1FKiwhDph83XaGc0o0/edit?usp=sharing"",""งบพรบ!DG28"")"),0)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IFERROR(__xludf.DUMMYFUNCTION("IMPORTRANGE(""https://docs.google.com/spreadsheets/d/1QqKyyYR6Q21VydFLVH3TRQUabQu_ym0Zz7PgGX0-kHA/edit?usp=sharing"",""แผน!EA28"")"),26)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26150</v>
      </c>
      <c r="O277" s="155">
        <f t="shared" ref="O277:O285" ca="1" si="126">IF(L277&gt;0,N277*100/L277,0)</f>
        <v>34.571655208884188</v>
      </c>
      <c r="P277" s="155">
        <f t="shared" ref="P277:P285" ca="1" si="127">IF(M277&gt;0,N277*100/M277,0)</f>
        <v>69.696162046908313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26150</v>
      </c>
      <c r="O279" s="93">
        <f t="shared" ca="1" si="126"/>
        <v>34.571655208884188</v>
      </c>
      <c r="P279" s="93">
        <f t="shared" ca="1" si="127"/>
        <v>69.696162046908313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37520</v>
      </c>
      <c r="N280" s="466">
        <f t="shared" ca="1" si="129"/>
        <v>26150</v>
      </c>
      <c r="O280" s="466">
        <f t="shared" ca="1" si="126"/>
        <v>34.571655208884188</v>
      </c>
      <c r="P280" s="466">
        <f t="shared" ca="1" si="127"/>
        <v>69.696162046908313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IFERROR(__xludf.DUMMYFUNCTION("IMPORTRANGE(""https://docs.google.com/spreadsheets/d/1MeEWN-I1oV_STSDYn1IFDPWt_1FKiwhDph83XaGc0o0/edit?usp=sharing"",""งบพรบ!DI28"")"),75640)</f>
        <v>75640</v>
      </c>
      <c r="M282" s="93">
        <f ca="1">IFERROR(__xludf.DUMMYFUNCTION("IMPORTRANGE(""https://docs.google.com/spreadsheets/d/1MeEWN-I1oV_STSDYn1IFDPWt_1FKiwhDph83XaGc0o0/edit?usp=sharing"",""งบพรบ!DN28"")"),37520)</f>
        <v>37520</v>
      </c>
      <c r="N282" s="93">
        <f ca="1">IFERROR(__xludf.DUMMYFUNCTION("IMPORTRANGE(""https://docs.google.com/spreadsheets/d/1MeEWN-I1oV_STSDYn1IFDPWt_1FKiwhDph83XaGc0o0/edit?usp=sharing"",""งบพรบ!DP28"")"),26150)</f>
        <v>26150</v>
      </c>
      <c r="O282" s="93">
        <f t="shared" ca="1" si="126"/>
        <v>34.571655208884188</v>
      </c>
      <c r="P282" s="93">
        <f t="shared" ca="1" si="127"/>
        <v>69.696162046908313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IFERROR(__xludf.DUMMYFUNCTION("IMPORTRANGE(""https://docs.google.com/spreadsheets/d/1MeEWN-I1oV_STSDYn1IFDPWt_1FKiwhDph83XaGc0o0/edit?usp=sharing"",""งบพรบ!DL28"")"),0)</f>
        <v>0</v>
      </c>
      <c r="M285" s="93">
        <f ca="1">IFERROR(__xludf.DUMMYFUNCTION("IMPORTRANGE(""https://docs.google.com/spreadsheets/d/1MeEWN-I1oV_STSDYn1IFDPWt_1FKiwhDph83XaGc0o0/edit?usp=sharing"",""งบพรบ!DO28"")"),0)</f>
        <v>0</v>
      </c>
      <c r="N285" s="93">
        <f ca="1">IFERROR(__xludf.DUMMYFUNCTION("IMPORTRANGE(""https://docs.google.com/spreadsheets/d/1MeEWN-I1oV_STSDYn1IFDPWt_1FKiwhDph83XaGc0o0/edit?usp=sharing"",""งบพรบ!DQ28"")"),0)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IFERROR(__xludf.DUMMYFUNCTION("IMPORTRANGE(""https://docs.google.com/spreadsheets/d/1QqKyyYR6Q21VydFLVH3TRQUabQu_ym0Zz7PgGX0-kHA/edit?usp=sharing"",""แผน!EC28"")"),200)</f>
        <v>200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IFERROR(__xludf.DUMMYFUNCTION("IMPORTRANGE(""https://docs.google.com/spreadsheets/d/1QqKyyYR6Q21VydFLVH3TRQUabQu_ym0Zz7PgGX0-kHA/edit?usp=sharing"",""แผน!EB28"")"),20)</f>
        <v>20</v>
      </c>
      <c r="J288" s="647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IFERROR(__xludf.DUMMYFUNCTION("IMPORTRANGE(""https://docs.google.com/spreadsheets/d/1QqKyyYR6Q21VydFLVH3TRQUabQu_ym0Zz7PgGX0-kHA/edit?usp=sharing"",""แผน!EB28"")"),20)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IFERROR(__xludf.DUMMYFUNCTION("IMPORTRANGE(""https://docs.google.com/spreadsheets/d/1QqKyyYR6Q21VydFLVH3TRQUabQu_ym0Zz7PgGX0-kHA/edit?usp=sharing"",""แผน!EB28"")"),20)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IFERROR(__xludf.DUMMYFUNCTION("IMPORTRANGE(""https://docs.google.com/spreadsheets/d/1QqKyyYR6Q21VydFLVH3TRQUabQu_ym0Zz7PgGX0-kHA/edit?usp=sharing"",""แผน!EB28"")"),20)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IFERROR(__xludf.DUMMYFUNCTION("IMPORTRANGE(""https://docs.google.com/spreadsheets/d/1QqKyyYR6Q21VydFLVH3TRQUabQu_ym0Zz7PgGX0-kHA/edit?usp=sharing"",""แผน!EB28"")"),20)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114120</v>
      </c>
      <c r="N298" s="155">
        <f t="shared" ca="1" si="135"/>
        <v>68200.320000000007</v>
      </c>
      <c r="O298" s="155">
        <f t="shared" ref="O298:O306" ca="1" si="136">IF(L298&gt;0,N298*100/L298,0)</f>
        <v>30.257462289263536</v>
      </c>
      <c r="P298" s="155">
        <f t="shared" ref="P298:P306" ca="1" si="137">IF(M298&gt;0,N298*100/M298,0)</f>
        <v>59.761934805467938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225400</v>
      </c>
      <c r="M300" s="93">
        <f t="shared" ca="1" si="138"/>
        <v>114120</v>
      </c>
      <c r="N300" s="93">
        <f t="shared" ca="1" si="138"/>
        <v>68200.320000000007</v>
      </c>
      <c r="O300" s="93">
        <f t="shared" ca="1" si="136"/>
        <v>30.257462289263536</v>
      </c>
      <c r="P300" s="93">
        <f t="shared" ca="1" si="137"/>
        <v>59.761934805467938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114120</v>
      </c>
      <c r="N301" s="466">
        <f t="shared" ca="1" si="139"/>
        <v>68200.320000000007</v>
      </c>
      <c r="O301" s="466">
        <f t="shared" ca="1" si="136"/>
        <v>30.257462289263536</v>
      </c>
      <c r="P301" s="466">
        <f t="shared" ca="1" si="137"/>
        <v>59.761934805467938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IFERROR(__xludf.DUMMYFUNCTION("IMPORTRANGE(""https://docs.google.com/spreadsheets/d/1MeEWN-I1oV_STSDYn1IFDPWt_1FKiwhDph83XaGc0o0/edit?usp=sharing"",""งบพรบ!DS28"")"),225400)</f>
        <v>225400</v>
      </c>
      <c r="M303" s="93">
        <f ca="1">IFERROR(__xludf.DUMMYFUNCTION("IMPORTRANGE(""https://docs.google.com/spreadsheets/d/1MeEWN-I1oV_STSDYn1IFDPWt_1FKiwhDph83XaGc0o0/edit?usp=sharing"",""งบพรบ!DX28"")"),114120)</f>
        <v>114120</v>
      </c>
      <c r="N303" s="93">
        <f ca="1">IFERROR(__xludf.DUMMYFUNCTION("IMPORTRANGE(""https://docs.google.com/spreadsheets/d/1MeEWN-I1oV_STSDYn1IFDPWt_1FKiwhDph83XaGc0o0/edit?usp=sharing"",""งบพรบ!DZ28"")"),68200.32)</f>
        <v>68200.320000000007</v>
      </c>
      <c r="O303" s="93">
        <f t="shared" ca="1" si="136"/>
        <v>30.257462289263536</v>
      </c>
      <c r="P303" s="93">
        <f t="shared" ca="1" si="137"/>
        <v>59.761934805467938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IFERROR(__xludf.DUMMYFUNCTION("IMPORTRANGE(""https://docs.google.com/spreadsheets/d/1MeEWN-I1oV_STSDYn1IFDPWt_1FKiwhDph83XaGc0o0/edit?usp=sharing"",""งบพรบ!DV28"")"),0)</f>
        <v>0</v>
      </c>
      <c r="M306" s="93">
        <f ca="1">IFERROR(__xludf.DUMMYFUNCTION("IMPORTRANGE(""https://docs.google.com/spreadsheets/d/1MeEWN-I1oV_STSDYn1IFDPWt_1FKiwhDph83XaGc0o0/edit?usp=sharing"",""งบพรบ!DY28"")"),0)</f>
        <v>0</v>
      </c>
      <c r="N306" s="93">
        <f ca="1">IFERROR(__xludf.DUMMYFUNCTION("IMPORTRANGE(""https://docs.google.com/spreadsheets/d/1MeEWN-I1oV_STSDYn1IFDPWt_1FKiwhDph83XaGc0o0/edit?usp=sharing"",""งบพรบ!EA28"")"),0)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IFERROR(__xludf.DUMMYFUNCTION("IMPORTRANGE(""https://docs.google.com/spreadsheets/d/1QqKyyYR6Q21VydFLVH3TRQUabQu_ym0Zz7PgGX0-kHA/edit?usp=sharing"",""แผน!ED28"")"),20)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IFERROR(__xludf.DUMMYFUNCTION("IMPORTRANGE(""https://docs.google.com/spreadsheets/d/1QqKyyYR6Q21VydFLVH3TRQUabQu_ym0Zz7PgGX0-kHA/edit?usp=sharing"",""แผน!ED28"")"),20)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IFERROR(__xludf.DUMMYFUNCTION("IMPORTRANGE(""https://docs.google.com/spreadsheets/d/1QqKyyYR6Q21VydFLVH3TRQUabQu_ym0Zz7PgGX0-kHA/edit?usp=sharing"",""แผน!ED28"")"),20)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IFERROR(__xludf.DUMMYFUNCTION("IMPORTRANGE(""https://docs.google.com/spreadsheets/d/1QqKyyYR6Q21VydFLVH3TRQUabQu_ym0Zz7PgGX0-kHA/edit?usp=sharing"",""แผน!EE28"")"),4)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IFERROR(__xludf.DUMMYFUNCTION("IMPORTRANGE(""https://docs.google.com/spreadsheets/d/1MeEWN-I1oV_STSDYn1IFDPWt_1FKiwhDph83XaGc0o0/edit?usp=sharing"",""งบพรบ!EC28"")"),0)</f>
        <v>0</v>
      </c>
      <c r="M320" s="93">
        <f ca="1">IFERROR(__xludf.DUMMYFUNCTION("IMPORTRANGE(""https://docs.google.com/spreadsheets/d/1MeEWN-I1oV_STSDYn1IFDPWt_1FKiwhDph83XaGc0o0/edit?usp=sharing"",""งบพรบ!EH28"")"),0)</f>
        <v>0</v>
      </c>
      <c r="N320" s="93">
        <f ca="1">IFERROR(__xludf.DUMMYFUNCTION("IMPORTRANGE(""https://docs.google.com/spreadsheets/d/1MeEWN-I1oV_STSDYn1IFDPWt_1FKiwhDph83XaGc0o0/edit?usp=sharing"",""งบพรบ!EJ28"")"),0)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IFERROR(__xludf.DUMMYFUNCTION("IMPORTRANGE(""https://docs.google.com/spreadsheets/d/1MeEWN-I1oV_STSDYn1IFDPWt_1FKiwhDph83XaGc0o0/edit?usp=sharing"",""งบพรบ!EF28"")"),0)</f>
        <v>0</v>
      </c>
      <c r="M323" s="93">
        <f ca="1">IFERROR(__xludf.DUMMYFUNCTION("IMPORTRANGE(""https://docs.google.com/spreadsheets/d/1MeEWN-I1oV_STSDYn1IFDPWt_1FKiwhDph83XaGc0o0/edit?usp=sharing"",""งบพรบ!EI28"")"),0)</f>
        <v>0</v>
      </c>
      <c r="N323" s="93">
        <f ca="1">IFERROR(__xludf.DUMMYFUNCTION("IMPORTRANGE(""https://docs.google.com/spreadsheets/d/1MeEWN-I1oV_STSDYn1IFDPWt_1FKiwhDph83XaGc0o0/edit?usp=sharing"",""งบพรบ!EK28"")"),0)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IFERROR(__xludf.DUMMYFUNCTION("IMPORTRANGE(""https://docs.google.com/spreadsheets/d/1QqKyyYR6Q21VydFLVH3TRQUabQu_ym0Zz7PgGX0-kHA/edit?usp=sharing"",""แผน!EG28"")"),5600)</f>
        <v>5600</v>
      </c>
      <c r="J327" s="413">
        <f ca="1">J338+J341+J342+J343</f>
        <v>2713</v>
      </c>
      <c r="K327" s="414">
        <f ca="1">IF(I327&gt;0,J327*100/I327,0)</f>
        <v>48.446428571428569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91000</v>
      </c>
      <c r="N328" s="155">
        <f t="shared" ca="1" si="149"/>
        <v>32506.67</v>
      </c>
      <c r="O328" s="155">
        <f t="shared" ref="O328:O336" ca="1" si="150">IF(L328&gt;0,N328*100/L328,0)</f>
        <v>17.860807692307691</v>
      </c>
      <c r="P328" s="155">
        <f t="shared" ref="P328:P336" ca="1" si="151">IF(M328&gt;0,N328*100/M328,0)</f>
        <v>35.721615384615383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182000</v>
      </c>
      <c r="M330" s="93">
        <f t="shared" ca="1" si="152"/>
        <v>91000</v>
      </c>
      <c r="N330" s="93">
        <f t="shared" ca="1" si="152"/>
        <v>32506.67</v>
      </c>
      <c r="O330" s="93">
        <f t="shared" ca="1" si="150"/>
        <v>17.860807692307691</v>
      </c>
      <c r="P330" s="93">
        <f t="shared" ca="1" si="151"/>
        <v>35.721615384615383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91000</v>
      </c>
      <c r="N331" s="466">
        <f t="shared" ca="1" si="153"/>
        <v>32506.67</v>
      </c>
      <c r="O331" s="466">
        <f t="shared" ca="1" si="150"/>
        <v>17.860807692307691</v>
      </c>
      <c r="P331" s="466">
        <f t="shared" ca="1" si="151"/>
        <v>35.721615384615383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IFERROR(__xludf.DUMMYFUNCTION("IMPORTRANGE(""https://docs.google.com/spreadsheets/d/1MeEWN-I1oV_STSDYn1IFDPWt_1FKiwhDph83XaGc0o0/edit?usp=sharing"",""งบพรบ!EM28"")"),182000)</f>
        <v>182000</v>
      </c>
      <c r="M333" s="93">
        <f ca="1">IFERROR(__xludf.DUMMYFUNCTION("IMPORTRANGE(""https://docs.google.com/spreadsheets/d/1MeEWN-I1oV_STSDYn1IFDPWt_1FKiwhDph83XaGc0o0/edit?usp=sharing"",""งบพรบ!ER28"")"),91000)</f>
        <v>91000</v>
      </c>
      <c r="N333" s="93">
        <f ca="1">IFERROR(__xludf.DUMMYFUNCTION("IMPORTRANGE(""https://docs.google.com/spreadsheets/d/1MeEWN-I1oV_STSDYn1IFDPWt_1FKiwhDph83XaGc0o0/edit?usp=sharing"",""งบพรบ!ET28"")"),32506.67)</f>
        <v>32506.67</v>
      </c>
      <c r="O333" s="93">
        <f t="shared" ca="1" si="150"/>
        <v>17.860807692307691</v>
      </c>
      <c r="P333" s="93">
        <f t="shared" ca="1" si="151"/>
        <v>35.721615384615383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IFERROR(__xludf.DUMMYFUNCTION("IMPORTRANGE(""https://docs.google.com/spreadsheets/d/1MeEWN-I1oV_STSDYn1IFDPWt_1FKiwhDph83XaGc0o0/edit?usp=sharing"",""งบพรบ!EP28"")"),0)</f>
        <v>0</v>
      </c>
      <c r="M336" s="93">
        <f ca="1">IFERROR(__xludf.DUMMYFUNCTION("IMPORTRANGE(""https://docs.google.com/spreadsheets/d/1MeEWN-I1oV_STSDYn1IFDPWt_1FKiwhDph83XaGc0o0/edit?usp=sharing"",""งบพรบ!ES28"")"),0)</f>
        <v>0</v>
      </c>
      <c r="N336" s="93">
        <f ca="1">IFERROR(__xludf.DUMMYFUNCTION("IMPORTRANGE(""https://docs.google.com/spreadsheets/d/1MeEWN-I1oV_STSDYn1IFDPWt_1FKiwhDph83XaGc0o0/edit?usp=sharing"",""งบพรบ!EU28"")"),0)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IFERROR(__xludf.DUMMYFUNCTION("IMPORTRANGE(""https://docs.google.com/spreadsheets/d/1QqKyyYR6Q21VydFLVH3TRQUabQu_ym0Zz7PgGX0-kHA/edit?usp=sharing"",""แผน!EG28"")"),5600)</f>
        <v>5600</v>
      </c>
      <c r="J338" s="270">
        <f ca="1">IFERROR(__xludf.DUMMYFUNCTION("IMPORTRANGE(""https://docs.google.com/spreadsheets/d/1kVcqe37tkHyjCSG3S0O1AXqVkqjo8mSIZil3BcpIysc/edit?usp=sharing"",""ศูนย์!D28"")"),2622)</f>
        <v>2622</v>
      </c>
      <c r="K338" s="466">
        <f ca="1">IF(I338&gt;0,J338*100/I338,0)</f>
        <v>46.821428571428569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IFERROR(__xludf.DUMMYFUNCTION("IMPORTRANGE(""https://docs.google.com/spreadsheets/d/1QqKyyYR6Q21VydFLVH3TRQUabQu_ym0Zz7PgGX0-kHA/edit?usp=sharing"",""แผน!EH28"")"),7)</f>
        <v>7</v>
      </c>
      <c r="J340" s="270">
        <f ca="1">IFERROR(__xludf.DUMMYFUNCTION("IMPORTRANGE(""https://docs.google.com/spreadsheets/d/1kVcqe37tkHyjCSG3S0O1AXqVkqjo8mSIZil3BcpIysc/edit?usp=sharing"",""ศูนย์!E28"")"),3)</f>
        <v>3</v>
      </c>
      <c r="K340" s="466">
        <f ca="1">IF(I340&gt;0,J340*100/I340,0)</f>
        <v>42.857142857142854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IFERROR(__xludf.DUMMYFUNCTION("IMPORTRANGE(""https://docs.google.com/spreadsheets/d/1kVcqe37tkHyjCSG3S0O1AXqVkqjo8mSIZil3BcpIysc/edit?usp=sharing"",""ศูนย์!F28"")"),91)</f>
        <v>91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IFERROR(__xludf.DUMMYFUNCTION("IMPORTRANGE(""https://docs.google.com/spreadsheets/d/1kVcqe37tkHyjCSG3S0O1AXqVkqjo8mSIZil3BcpIysc/edit?usp=sharing"",""ศูนย์!G28"")"),0)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593930</v>
      </c>
      <c r="M345" s="155">
        <f t="shared" ca="1" si="155"/>
        <v>345870</v>
      </c>
      <c r="N345" s="155">
        <f t="shared" ca="1" si="155"/>
        <v>146420</v>
      </c>
      <c r="O345" s="155">
        <f t="shared" ref="O345:O353" ca="1" si="156">IF(L345&gt;0,N345*100/L345,0)</f>
        <v>24.652736854511474</v>
      </c>
      <c r="P345" s="155">
        <f t="shared" ref="P345:P353" ca="1" si="157">IF(M345&gt;0,N345*100/M345,0)</f>
        <v>42.333824847486049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593930</v>
      </c>
      <c r="M347" s="93">
        <f t="shared" ca="1" si="158"/>
        <v>345870</v>
      </c>
      <c r="N347" s="93">
        <f t="shared" ca="1" si="158"/>
        <v>146420</v>
      </c>
      <c r="O347" s="93">
        <f t="shared" ca="1" si="156"/>
        <v>24.652736854511474</v>
      </c>
      <c r="P347" s="93">
        <f t="shared" ca="1" si="157"/>
        <v>42.333824847486049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496130</v>
      </c>
      <c r="M348" s="466">
        <f t="shared" ca="1" si="159"/>
        <v>248070</v>
      </c>
      <c r="N348" s="466">
        <f t="shared" ca="1" si="159"/>
        <v>48620</v>
      </c>
      <c r="O348" s="466">
        <f t="shared" ca="1" si="156"/>
        <v>9.7998508455445137</v>
      </c>
      <c r="P348" s="466">
        <f t="shared" ca="1" si="157"/>
        <v>19.599306647317288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IFERROR(__xludf.DUMMYFUNCTION("IMPORTRANGE(""https://docs.google.com/spreadsheets/d/1MeEWN-I1oV_STSDYn1IFDPWt_1FKiwhDph83XaGc0o0/edit?usp=sharing"",""งบพรบ!EW28"")"),496130)</f>
        <v>496130</v>
      </c>
      <c r="M350" s="93">
        <f ca="1">IFERROR(__xludf.DUMMYFUNCTION("IMPORTRANGE(""https://docs.google.com/spreadsheets/d/1MeEWN-I1oV_STSDYn1IFDPWt_1FKiwhDph83XaGc0o0/edit?usp=sharing"",""งบพรบ!FB28"")"),248070)</f>
        <v>248070</v>
      </c>
      <c r="N350" s="93">
        <f ca="1">IFERROR(__xludf.DUMMYFUNCTION("IMPORTRANGE(""https://docs.google.com/spreadsheets/d/1MeEWN-I1oV_STSDYn1IFDPWt_1FKiwhDph83XaGc0o0/edit?usp=sharing"",""งบพรบ!FD28"")"),48620)</f>
        <v>48620</v>
      </c>
      <c r="O350" s="93">
        <f t="shared" ca="1" si="156"/>
        <v>9.7998508455445137</v>
      </c>
      <c r="P350" s="93">
        <f t="shared" ca="1" si="157"/>
        <v>19.599306647317288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IFERROR(__xludf.DUMMYFUNCTION("IMPORTRANGE(""https://docs.google.com/spreadsheets/d/1MeEWN-I1oV_STSDYn1IFDPWt_1FKiwhDph83XaGc0o0/edit?usp=sharing"",""งบพรบ!EZ28"")"),97800)</f>
        <v>97800</v>
      </c>
      <c r="M353" s="93">
        <f ca="1">IFERROR(__xludf.DUMMYFUNCTION("IMPORTRANGE(""https://docs.google.com/spreadsheets/d/1MeEWN-I1oV_STSDYn1IFDPWt_1FKiwhDph83XaGc0o0/edit?usp=sharing"",""งบพรบ!FC28"")"),97800)</f>
        <v>97800</v>
      </c>
      <c r="N353" s="93">
        <f ca="1">IFERROR(__xludf.DUMMYFUNCTION("IMPORTRANGE(""https://docs.google.com/spreadsheets/d/1MeEWN-I1oV_STSDYn1IFDPWt_1FKiwhDph83XaGc0o0/edit?usp=sharing"",""งบพรบ!FE28"")"),97800)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IFERROR(__xludf.DUMMYFUNCTION("IMPORTRANGE(""https://docs.google.com/spreadsheets/d/1QqKyyYR6Q21VydFLVH3TRQUabQu_ym0Zz7PgGX0-kHA/edit?usp=sharing"",""แผน!EP28"")"),190)</f>
        <v>190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IFERROR(__xludf.DUMMYFUNCTION("IMPORTRANGE(""https://docs.google.com/spreadsheets/d/1XWAQStnk-4SwqDmLtmXYiTMKHgktTP8We1SCoS47DrQ/edit?usp=sharing"",""จัดที่ดิน!W28"")"),69)</f>
        <v>69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IFERROR(__xludf.DUMMYFUNCTION("IMPORTRANGE(""https://docs.google.com/spreadsheets/d/1QqKyyYR6Q21VydFLVH3TRQUabQu_ym0Zz7PgGX0-kHA/edit?usp=sharing"",""แผน!EO28"")"),1800)</f>
        <v>1800</v>
      </c>
      <c r="J359" s="270">
        <f ca="1">IFERROR(__xludf.DUMMYFUNCTION("IMPORTRANGE(""https://docs.google.com/spreadsheets/d/1XWAQStnk-4SwqDmLtmXYiTMKHgktTP8We1SCoS47DrQ/edit?usp=sharing"",""จัดที่ดิน!X28"")"),563.05)</f>
        <v>563.04999999999995</v>
      </c>
      <c r="K359" s="466">
        <f t="shared" ca="1" si="161"/>
        <v>31.280555555555551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IFERROR(__xludf.DUMMYFUNCTION("IMPORTRANGE(""https://docs.google.com/spreadsheets/d/1QqKyyYR6Q21VydFLVH3TRQUabQu_ym0Zz7PgGX0-kHA/edit?usp=sharing"",""แผน!EP28"")"),190)</f>
        <v>190</v>
      </c>
      <c r="J360" s="270">
        <f ca="1">IFERROR(__xludf.DUMMYFUNCTION("IMPORTRANGE(""https://docs.google.com/spreadsheets/d/1XWAQStnk-4SwqDmLtmXYiTMKHgktTP8We1SCoS47DrQ/edit?usp=sharing"",""จัดที่ดิน!Y28"")"),55)</f>
        <v>55</v>
      </c>
      <c r="K360" s="466">
        <f t="shared" ca="1" si="161"/>
        <v>28.94736842105263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IFERROR(__xludf.DUMMYFUNCTION("IMPORTRANGE(""https://docs.google.com/spreadsheets/d/1XWAQStnk-4SwqDmLtmXYiTMKHgktTP8We1SCoS47DrQ/edit?usp=sharing"",""จัดที่ดิน!Z28"")"),428.85)</f>
        <v>428.85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IFERROR(__xludf.DUMMYFUNCTION("IMPORTRANGE(""https://docs.google.com/spreadsheets/d/1QqKyyYR6Q21VydFLVH3TRQUabQu_ym0Zz7PgGX0-kHA/edit?usp=sharing"",""แผน!EP28"")"),190)</f>
        <v>190</v>
      </c>
      <c r="J362" s="270">
        <f ca="1">IFERROR(__xludf.DUMMYFUNCTION("IMPORTRANGE(""https://docs.google.com/spreadsheets/d/1XWAQStnk-4SwqDmLtmXYiTMKHgktTP8We1SCoS47DrQ/edit?usp=sharing"",""จัดที่ดิน!AA28"")"),0)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IFERROR(__xludf.DUMMYFUNCTION("IMPORTRANGE(""https://docs.google.com/spreadsheets/d/1XWAQStnk-4SwqDmLtmXYiTMKHgktTP8We1SCoS47DrQ/edit?usp=sharing"",""จัดที่ดิน!AB28"")"),0)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690</v>
      </c>
      <c r="J364" s="447">
        <f t="shared" ca="1" si="162"/>
        <v>171</v>
      </c>
      <c r="K364" s="448">
        <f t="shared" ca="1" si="161"/>
        <v>24.782608695652176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IFERROR(__xludf.DUMMYFUNCTION("IMPORTRANGE(""https://docs.google.com/spreadsheets/d/1QqKyyYR6Q21VydFLVH3TRQUabQu_ym0Zz7PgGX0-kHA/edit?usp=sharing"",""แผน!EJ28"")"),40)</f>
        <v>40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IFERROR(__xludf.DUMMYFUNCTION("IMPORTRANGE(""https://docs.google.com/spreadsheets/d/1XWAQStnk-4SwqDmLtmXYiTMKHgktTP8We1SCoS47DrQ/edit?usp=sharing"",""จัดที่ดิน!E28"")"),14)</f>
        <v>14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IFERROR(__xludf.DUMMYFUNCTION("IMPORTRANGE(""https://docs.google.com/spreadsheets/d/1QqKyyYR6Q21VydFLVH3TRQUabQu_ym0Zz7PgGX0-kHA/edit?usp=sharing"",""แผน!EI28"")"),600)</f>
        <v>600</v>
      </c>
      <c r="J369" s="270">
        <f ca="1">IFERROR(__xludf.DUMMYFUNCTION("IMPORTRANGE(""https://docs.google.com/spreadsheets/d/1XWAQStnk-4SwqDmLtmXYiTMKHgktTP8We1SCoS47DrQ/edit?usp=sharing"",""จัดที่ดิน!F28"")"),134.2)</f>
        <v>134.19999999999999</v>
      </c>
      <c r="K369" s="466">
        <f t="shared" ca="1" si="163"/>
        <v>22.366666666666664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IFERROR(__xludf.DUMMYFUNCTION("IMPORTRANGE(""https://docs.google.com/spreadsheets/d/1QqKyyYR6Q21VydFLVH3TRQUabQu_ym0Zz7PgGX0-kHA/edit?usp=sharing"",""แผน!EJ28"")"),40)</f>
        <v>40</v>
      </c>
      <c r="J370" s="270">
        <f ca="1">IFERROR(__xludf.DUMMYFUNCTION("IMPORTRANGE(""https://docs.google.com/spreadsheets/d/1XWAQStnk-4SwqDmLtmXYiTMKHgktTP8We1SCoS47DrQ/edit?usp=sharing"",""จัดที่ดิน!G28"")"),0)</f>
        <v>0</v>
      </c>
      <c r="K370" s="46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IFERROR(__xludf.DUMMYFUNCTION("IMPORTRANGE(""https://docs.google.com/spreadsheets/d/1XWAQStnk-4SwqDmLtmXYiTMKHgktTP8We1SCoS47DrQ/edit?usp=sharing"",""จัดที่ดิน!H28"")"),0)</f>
        <v>0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IFERROR(__xludf.DUMMYFUNCTION("IMPORTRANGE(""https://docs.google.com/spreadsheets/d/1QqKyyYR6Q21VydFLVH3TRQUabQu_ym0Zz7PgGX0-kHA/edit?usp=sharing"",""แผน!EJ28"")"),40)</f>
        <v>40</v>
      </c>
      <c r="J372" s="270">
        <f ca="1">IFERROR(__xludf.DUMMYFUNCTION("IMPORTRANGE(""https://docs.google.com/spreadsheets/d/1XWAQStnk-4SwqDmLtmXYiTMKHgktTP8We1SCoS47DrQ/edit?usp=sharing"",""จัดที่ดิน!I28"")"),0)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IFERROR(__xludf.DUMMYFUNCTION("IMPORTRANGE(""https://docs.google.com/spreadsheets/d/1XWAQStnk-4SwqDmLtmXYiTMKHgktTP8We1SCoS47DrQ/edit?usp=sharing"",""จัดที่ดิน!J28"")"),0)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IFERROR(__xludf.DUMMYFUNCTION("IMPORTRANGE(""https://docs.google.com/spreadsheets/d/1QqKyyYR6Q21VydFLVH3TRQUabQu_ym0Zz7PgGX0-kHA/edit?usp=sharing"",""แผน!EU28"")"),650)</f>
        <v>650</v>
      </c>
      <c r="J374" s="459">
        <f ca="1">J381</f>
        <v>171</v>
      </c>
      <c r="K374" s="460">
        <f t="shared" ca="1" si="163"/>
        <v>26.307692307692307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IFERROR(__xludf.DUMMYFUNCTION("IMPORTRANGE(""https://docs.google.com/spreadsheets/d/1XWAQStnk-4SwqDmLtmXYiTMKHgktTP8We1SCoS47DrQ/edit?usp=sharing"",""จัดที่ดิน!AH28"")"),55)</f>
        <v>55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IFERROR(__xludf.DUMMYFUNCTION("IMPORTRANGE(""https://docs.google.com/spreadsheets/d/1QqKyyYR6Q21VydFLVH3TRQUabQu_ym0Zz7PgGX0-kHA/edit?usp=sharing"",""แผน!ET28"")"),1200)</f>
        <v>1200</v>
      </c>
      <c r="J378" s="270">
        <f ca="1">IFERROR(__xludf.DUMMYFUNCTION("IMPORTRANGE(""https://docs.google.com/spreadsheets/d/1XWAQStnk-4SwqDmLtmXYiTMKHgktTP8We1SCoS47DrQ/edit?usp=sharing"",""จัดที่ดิน!AI28"")"),428.85)</f>
        <v>428.85</v>
      </c>
      <c r="K378" s="466">
        <f t="shared" ca="1" si="164"/>
        <v>35.737499999999997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IFERROR(__xludf.DUMMYFUNCTION("IMPORTRANGE(""https://docs.google.com/spreadsheets/d/1QqKyyYR6Q21VydFLVH3TRQUabQu_ym0Zz7PgGX0-kHA/edit?usp=sharing"",""แผน!EU28"")"),650)</f>
        <v>650</v>
      </c>
      <c r="J379" s="270">
        <f ca="1">IFERROR(__xludf.DUMMYFUNCTION("IMPORTRANGE(""https://docs.google.com/spreadsheets/d/1XWAQStnk-4SwqDmLtmXYiTMKHgktTP8We1SCoS47DrQ/edit?usp=sharing"",""จัดที่ดิน!AJ28"")"),223)</f>
        <v>223</v>
      </c>
      <c r="K379" s="466">
        <f t="shared" ca="1" si="164"/>
        <v>34.307692307692307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IFERROR(__xludf.DUMMYFUNCTION("IMPORTRANGE(""https://docs.google.com/spreadsheets/d/1XWAQStnk-4SwqDmLtmXYiTMKHgktTP8We1SCoS47DrQ/edit?usp=sharing"",""จัดที่ดิน!AK28"")"),2557.54)</f>
        <v>2557.54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IFERROR(__xludf.DUMMYFUNCTION("IMPORTRANGE(""https://docs.google.com/spreadsheets/d/1QqKyyYR6Q21VydFLVH3TRQUabQu_ym0Zz7PgGX0-kHA/edit?usp=sharing"",""แผน!EU28"")"),650)</f>
        <v>650</v>
      </c>
      <c r="J381" s="270">
        <f ca="1">IFERROR(__xludf.DUMMYFUNCTION("IMPORTRANGE(""https://docs.google.com/spreadsheets/d/1XWAQStnk-4SwqDmLtmXYiTMKHgktTP8We1SCoS47DrQ/edit?usp=sharing"",""จัดที่ดิน!AL28"")"),171)</f>
        <v>171</v>
      </c>
      <c r="K381" s="466">
        <f t="shared" ca="1" si="164"/>
        <v>26.307692307692307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IFERROR(__xludf.DUMMYFUNCTION("IMPORTRANGE(""https://docs.google.com/spreadsheets/d/1XWAQStnk-4SwqDmLtmXYiTMKHgktTP8We1SCoS47DrQ/edit?usp=sharing"",""จัดที่ดิน!AM28"")"),2233.41)</f>
        <v>2233.41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IFERROR(__xludf.DUMMYFUNCTION("IMPORTRANGE(""https://docs.google.com/spreadsheets/d/1QqKyyYR6Q21VydFLVH3TRQUabQu_ym0Zz7PgGX0-kHA/edit?usp=sharing"",""แผน!EW28"")"),10)</f>
        <v>10</v>
      </c>
      <c r="J385" s="469">
        <f ca="1">IFERROR(__xludf.DUMMYFUNCTION("IMPORTRANGE(""https://docs.google.com/spreadsheets/d/1XWAQStnk-4SwqDmLtmXYiTMKHgktTP8We1SCoS47DrQ/edit?usp=sharing"",""จัดที่ดิน!AP28"")"),0)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IFERROR(__xludf.DUMMYFUNCTION("IMPORTRANGE(""https://docs.google.com/spreadsheets/d/1MeEWN-I1oV_STSDYn1IFDPWt_1FKiwhDph83XaGc0o0/edit?usp=sharing"",""งบพรบ!FG28"")"),0)</f>
        <v>0</v>
      </c>
      <c r="M394" s="93">
        <f ca="1">IFERROR(__xludf.DUMMYFUNCTION("IMPORTRANGE(""https://docs.google.com/spreadsheets/d/1MeEWN-I1oV_STSDYn1IFDPWt_1FKiwhDph83XaGc0o0/edit?usp=sharing"",""งบพรบ!FL28"")"),0)</f>
        <v>0</v>
      </c>
      <c r="N394" s="93">
        <f ca="1">IFERROR(__xludf.DUMMYFUNCTION("IMPORTRANGE(""https://docs.google.com/spreadsheets/d/1MeEWN-I1oV_STSDYn1IFDPWt_1FKiwhDph83XaGc0o0/edit?usp=sharing"",""งบพรบ!FN28"")"),0)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IFERROR(__xludf.DUMMYFUNCTION("IMPORTRANGE(""https://docs.google.com/spreadsheets/d/1MeEWN-I1oV_STSDYn1IFDPWt_1FKiwhDph83XaGc0o0/edit?usp=sharing"",""งบพรบ!FJ28"")"),0)</f>
        <v>0</v>
      </c>
      <c r="M397" s="93">
        <f ca="1">IFERROR(__xludf.DUMMYFUNCTION("IMPORTRANGE(""https://docs.google.com/spreadsheets/d/1MeEWN-I1oV_STSDYn1IFDPWt_1FKiwhDph83XaGc0o0/edit?usp=sharing"",""งบพรบ!FM28"")"),0)</f>
        <v>0</v>
      </c>
      <c r="N397" s="93">
        <f ca="1">IFERROR(__xludf.DUMMYFUNCTION("IMPORTRANGE(""https://docs.google.com/spreadsheets/d/1MeEWN-I1oV_STSDYn1IFDPWt_1FKiwhDph83XaGc0o0/edit?usp=sharing"",""งบพรบ!FO28"")"),0)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IFERROR(__xludf.DUMMYFUNCTION("IMPORTRANGE(""https://docs.google.com/spreadsheets/d/1MeEWN-I1oV_STSDYn1IFDPWt_1FKiwhDph83XaGc0o0/edit?usp=sharing"",""งบพรบ!FQ28"")"),0)</f>
        <v>0</v>
      </c>
      <c r="M407" s="93">
        <f ca="1">IFERROR(__xludf.DUMMYFUNCTION("IMPORTRANGE(""https://docs.google.com/spreadsheets/d/1MeEWN-I1oV_STSDYn1IFDPWt_1FKiwhDph83XaGc0o0/edit?usp=sharing"",""งบพรบ!FV28"")"),0)</f>
        <v>0</v>
      </c>
      <c r="N407" s="93">
        <f ca="1">IFERROR(__xludf.DUMMYFUNCTION("IMPORTRANGE(""https://docs.google.com/spreadsheets/d/1MeEWN-I1oV_STSDYn1IFDPWt_1FKiwhDph83XaGc0o0/edit?usp=sharing"",""งบพรบ!FX28"")"),0)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IFERROR(__xludf.DUMMYFUNCTION("IMPORTRANGE(""https://docs.google.com/spreadsheets/d/1MeEWN-I1oV_STSDYn1IFDPWt_1FKiwhDph83XaGc0o0/edit?usp=sharing"",""งบพรบ!FT28"")"),0)</f>
        <v>0</v>
      </c>
      <c r="M410" s="93">
        <f ca="1">IFERROR(__xludf.DUMMYFUNCTION("IMPORTRANGE(""https://docs.google.com/spreadsheets/d/1MeEWN-I1oV_STSDYn1IFDPWt_1FKiwhDph83XaGc0o0/edit?usp=sharing"",""งบพรบ!FW28"")"),0)</f>
        <v>0</v>
      </c>
      <c r="N410" s="93">
        <f ca="1">IFERROR(__xludf.DUMMYFUNCTION("IMPORTRANGE(""https://docs.google.com/spreadsheets/d/1MeEWN-I1oV_STSDYn1IFDPWt_1FKiwhDph83XaGc0o0/edit?usp=sharing"",""งบพรบ!FY28"")"),0)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2084299</v>
      </c>
      <c r="M414" s="517">
        <f t="shared" si="181"/>
        <v>0</v>
      </c>
      <c r="N414" s="517">
        <f t="shared" si="181"/>
        <v>371314.18</v>
      </c>
      <c r="O414" s="517">
        <f ca="1">IF(L414&gt;0,N414*100/L414,0)</f>
        <v>17.814823113190574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65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226960</v>
      </c>
      <c r="M419" s="155">
        <f t="shared" si="184"/>
        <v>0</v>
      </c>
      <c r="N419" s="155">
        <f t="shared" si="184"/>
        <v>136460</v>
      </c>
      <c r="O419" s="155">
        <f t="shared" ref="O419:O424" ca="1" si="185">IF(L419&gt;0,N419*100/L419,0)</f>
        <v>60.125132181882272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226960</v>
      </c>
      <c r="M421" s="93">
        <f t="shared" si="187"/>
        <v>0</v>
      </c>
      <c r="N421" s="93">
        <f t="shared" si="187"/>
        <v>136460</v>
      </c>
      <c r="O421" s="93">
        <f t="shared" ca="1" si="185"/>
        <v>60.125132181882272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226960</v>
      </c>
      <c r="M422" s="466">
        <f t="shared" si="188"/>
        <v>0</v>
      </c>
      <c r="N422" s="466">
        <f t="shared" si="188"/>
        <v>136460</v>
      </c>
      <c r="O422" s="466">
        <f t="shared" ca="1" si="185"/>
        <v>60.125132181882272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IFERROR(__xludf.DUMMYFUNCTION("IMPORTRANGE(""https://docs.google.com/spreadsheets/d/1QqKyyYR6Q21VydFLVH3TRQUabQu_ym0Zz7PgGX0-kHA/edit?usp=sharing"",""แผน!EY28"")"),226960)</f>
        <v>226960</v>
      </c>
      <c r="M424" s="93">
        <v>0</v>
      </c>
      <c r="N424" s="93">
        <f>N425+N426+N427+N428</f>
        <v>136460</v>
      </c>
      <c r="O424" s="93">
        <f t="shared" ca="1" si="185"/>
        <v>60.125132181882272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102600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33860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65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2</v>
      </c>
      <c r="J434" s="647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IFERROR(__xludf.DUMMYFUNCTION("IMPORTRANGE(""https://docs.google.com/spreadsheets/d/1QqKyyYR6Q21VydFLVH3TRQUabQu_ym0Zz7PgGX0-kHA/edit?usp=sharing"",""แผน!FC28"")"),65)</f>
        <v>65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IFERROR(__xludf.DUMMYFUNCTION("IMPORTRANGE(""https://docs.google.com/spreadsheets/d/1QqKyyYR6Q21VydFLVH3TRQUabQu_ym0Zz7PgGX0-kHA/edit?usp=sharing"",""แผน!FD28"")"),50)</f>
        <v>50</v>
      </c>
      <c r="J437" s="549">
        <v>22</v>
      </c>
      <c r="K437" s="466">
        <f t="shared" ref="K437:K443" ca="1" si="194">IF(I437&gt;0,J437*100/I437,0)</f>
        <v>44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IFERROR(__xludf.DUMMYFUNCTION("IMPORTRANGE(""https://docs.google.com/spreadsheets/d/1QqKyyYR6Q21VydFLVH3TRQUabQu_ym0Zz7PgGX0-kHA/edit?usp=sharing"",""แผน!FF28"")"),15)</f>
        <v>15</v>
      </c>
      <c r="J439" s="549">
        <v>15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115</v>
      </c>
      <c r="J442" s="555">
        <f t="shared" si="195"/>
        <v>115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360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723480</v>
      </c>
      <c r="M444" s="195">
        <f t="shared" si="197"/>
        <v>0</v>
      </c>
      <c r="N444" s="195">
        <f t="shared" si="197"/>
        <v>158934.64000000001</v>
      </c>
      <c r="O444" s="195">
        <f t="shared" ref="O444:O449" ca="1" si="198">IF(L444&gt;0,N444*100/L444,0)</f>
        <v>21.968076519046832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723480</v>
      </c>
      <c r="M446" s="93">
        <f t="shared" si="200"/>
        <v>0</v>
      </c>
      <c r="N446" s="93">
        <f t="shared" si="200"/>
        <v>158934.64000000001</v>
      </c>
      <c r="O446" s="93">
        <f t="shared" ca="1" si="198"/>
        <v>21.968076519046832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723480</v>
      </c>
      <c r="M447" s="466">
        <f t="shared" si="201"/>
        <v>0</v>
      </c>
      <c r="N447" s="466">
        <f t="shared" si="201"/>
        <v>158934.64000000001</v>
      </c>
      <c r="O447" s="466">
        <f t="shared" ca="1" si="198"/>
        <v>21.968076519046832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IFERROR(__xludf.DUMMYFUNCTION("IMPORTRANGE(""https://docs.google.com/spreadsheets/d/1QqKyyYR6Q21VydFLVH3TRQUabQu_ym0Zz7PgGX0-kHA/edit?usp=sharing"",""แผน!FJ28"")"),723480)</f>
        <v>723480</v>
      </c>
      <c r="M449" s="93">
        <v>0</v>
      </c>
      <c r="N449" s="93">
        <f>N450+N451+N452+N453</f>
        <v>158934.64000000001</v>
      </c>
      <c r="O449" s="93">
        <f t="shared" ca="1" si="198"/>
        <v>21.968076519046832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109070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25580.639999999999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24284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IFERROR(__xludf.DUMMYFUNCTION("IMPORTRANGE(""https://docs.google.com/spreadsheets/d/1QqKyyYR6Q21VydFLVH3TRQUabQu_ym0Zz7PgGX0-kHA/edit?usp=sharing"",""แผน!FN28"")"),115)</f>
        <v>115</v>
      </c>
      <c r="J460" s="215">
        <v>115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IFERROR(__xludf.DUMMYFUNCTION("IMPORTRANGE(""https://docs.google.com/spreadsheets/d/1QqKyyYR6Q21VydFLVH3TRQUabQu_ym0Zz7PgGX0-kHA/edit?usp=sharing"",""แผน!FO28"")"),360)</f>
        <v>360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IFERROR(__xludf.DUMMYFUNCTION("IMPORTRANGE(""https://docs.google.com/spreadsheets/d/1QqKyyYR6Q21VydFLVH3TRQUabQu_ym0Zz7PgGX0-kHA/edit?usp=sharing"",""แผน!FO28"")"),360)</f>
        <v>360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IFERROR(__xludf.DUMMYFUNCTION("IMPORTRANGE(""https://docs.google.com/spreadsheets/d/1QqKyyYR6Q21VydFLVH3TRQUabQu_ym0Zz7PgGX0-kHA/edit?usp=sharing"",""แผน!FN28"")"),115)</f>
        <v>115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IFERROR(__xludf.DUMMYFUNCTION("IMPORTRANGE(""https://docs.google.com/spreadsheets/d/1QqKyyYR6Q21VydFLVH3TRQUabQu_ym0Zz7PgGX0-kHA/edit?usp=sharing"",""แผน!FX28"")"),31)</f>
        <v>31</v>
      </c>
      <c r="J465" s="555">
        <f>J485+J489+J492</f>
        <v>1</v>
      </c>
      <c r="K465" s="556">
        <f t="shared" ref="K465:K466" ca="1" si="205">IF(I465&gt;0,J465*100/I465,0)</f>
        <v>3.225806451612903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IFERROR(__xludf.DUMMYFUNCTION("IMPORTRANGE(""https://docs.google.com/spreadsheets/d/1QqKyyYR6Q21VydFLVH3TRQUabQu_ym0Zz7PgGX0-kHA/edit?usp=sharing"",""แผน!FW28"")"),300)</f>
        <v>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257423</v>
      </c>
      <c r="M467" s="195">
        <f t="shared" si="206"/>
        <v>0</v>
      </c>
      <c r="N467" s="195">
        <f t="shared" si="206"/>
        <v>12050</v>
      </c>
      <c r="O467" s="195">
        <f t="shared" ref="O467:O472" ca="1" si="207">IF(L467&gt;0,N467*100/L467,0)</f>
        <v>4.6810114092369366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257423</v>
      </c>
      <c r="M469" s="93">
        <f t="shared" si="209"/>
        <v>0</v>
      </c>
      <c r="N469" s="93">
        <f t="shared" si="209"/>
        <v>12050</v>
      </c>
      <c r="O469" s="93">
        <f t="shared" ca="1" si="207"/>
        <v>4.6810114092369366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257423</v>
      </c>
      <c r="M470" s="466">
        <f t="shared" si="210"/>
        <v>0</v>
      </c>
      <c r="N470" s="466">
        <f t="shared" si="210"/>
        <v>12050</v>
      </c>
      <c r="O470" s="466">
        <f t="shared" ca="1" si="207"/>
        <v>4.6810114092369366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IFERROR(__xludf.DUMMYFUNCTION("IMPORTRANGE(""https://docs.google.com/spreadsheets/d/1QqKyyYR6Q21VydFLVH3TRQUabQu_ym0Zz7PgGX0-kHA/edit?usp=sharing"",""แผน!FS28"")"),257423)</f>
        <v>257423</v>
      </c>
      <c r="M472" s="93">
        <v>0</v>
      </c>
      <c r="N472" s="93">
        <f>N473+N474+N475+N476</f>
        <v>12050</v>
      </c>
      <c r="O472" s="93">
        <f t="shared" ca="1" si="207"/>
        <v>4.6810114092369366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12050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IFERROR(__xludf.DUMMYFUNCTION("IMPORTRANGE(""https://docs.google.com/spreadsheets/d/1QqKyyYR6Q21VydFLVH3TRQUabQu_ym0Zz7PgGX0-kHA/edit?usp=sharing"",""แผน!FY28"")"),270)</f>
        <v>270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IFERROR(__xludf.DUMMYFUNCTION("IMPORTRANGE(""https://docs.google.com/spreadsheets/d/1QqKyyYR6Q21VydFLVH3TRQUabQu_ym0Zz7PgGX0-kHA/edit?usp=sharing"",""แผน!FZ28"")"),27)</f>
        <v>27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IFERROR(__xludf.DUMMYFUNCTION("IMPORTRANGE(""https://docs.google.com/spreadsheets/d/1QqKyyYR6Q21VydFLVH3TRQUabQu_ym0Zz7PgGX0-kHA/edit?usp=sharing"",""แผน!GA28"")"),30)</f>
        <v>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IFERROR(__xludf.DUMMYFUNCTION("IMPORTRANGE(""https://docs.google.com/spreadsheets/d/1QqKyyYR6Q21VydFLVH3TRQUabQu_ym0Zz7PgGX0-kHA/edit?usp=sharing"",""แผน!GB28"")"),3)</f>
        <v>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IFERROR(__xludf.DUMMYFUNCTION("IMPORTRANGE(""https://docs.google.com/spreadsheets/d/1QqKyyYR6Q21VydFLVH3TRQUabQu_ym0Zz7PgGX0-kHA/edit?usp=sharing"",""แผน!FY28"")"),270)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IFERROR(__xludf.DUMMYFUNCTION("IMPORTRANGE(""https://docs.google.com/spreadsheets/d/1QqKyyYR6Q21VydFLVH3TRQUabQu_ym0Zz7PgGX0-kHA/edit?usp=sharing"",""แผน!GA28"")"),30)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IFERROR(__xludf.DUMMYFUNCTION("IMPORTRANGE(""https://docs.google.com/spreadsheets/d/1QqKyyYR6Q21VydFLVH3TRQUabQu_ym0Zz7PgGX0-kHA/edit?usp=sharing"",""แผน!GU28"")"),0)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45451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475671</v>
      </c>
      <c r="M544" s="155">
        <f t="shared" si="236"/>
        <v>0</v>
      </c>
      <c r="N544" s="155">
        <f t="shared" si="236"/>
        <v>37869.54</v>
      </c>
      <c r="O544" s="155">
        <f t="shared" ref="O544:O549" ca="1" si="237">IF(L544&gt;0,N544*100/L544,0)</f>
        <v>7.9612883694822685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475671</v>
      </c>
      <c r="M546" s="93">
        <f t="shared" si="240"/>
        <v>0</v>
      </c>
      <c r="N546" s="93">
        <f t="shared" si="240"/>
        <v>37869.54</v>
      </c>
      <c r="O546" s="93">
        <f t="shared" ca="1" si="237"/>
        <v>7.9612883694822685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475671</v>
      </c>
      <c r="M547" s="466">
        <f t="shared" si="241"/>
        <v>0</v>
      </c>
      <c r="N547" s="466">
        <f t="shared" si="241"/>
        <v>37869.54</v>
      </c>
      <c r="O547" s="466">
        <f t="shared" ca="1" si="237"/>
        <v>7.9612883694822685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IFERROR(__xludf.DUMMYFUNCTION("IMPORTRANGE(""https://docs.google.com/spreadsheets/d/1QqKyyYR6Q21VydFLVH3TRQUabQu_ym0Zz7PgGX0-kHA/edit?usp=sharing"",""แผน!HB28"")"),475671)</f>
        <v>475671</v>
      </c>
      <c r="M549" s="93">
        <v>0</v>
      </c>
      <c r="N549" s="93">
        <f>N550+N551+N552+N553+N554</f>
        <v>37869.54</v>
      </c>
      <c r="O549" s="93">
        <f t="shared" ca="1" si="237"/>
        <v>7.9612883694822685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26000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11869.54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45451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IFERROR(__xludf.DUMMYFUNCTION("IMPORTRANGE(""https://docs.google.com/spreadsheets/d/1QqKyyYR6Q21VydFLVH3TRQUabQu_ym0Zz7PgGX0-kHA/edit?usp=sharing"",""แผน!HH28"")"),45451)</f>
        <v>45451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IFERROR(__xludf.DUMMYFUNCTION("IMPORTRANGE(""https://docs.google.com/spreadsheets/d/1QqKyyYR6Q21VydFLVH3TRQUabQu_ym0Zz7PgGX0-kHA/edit?usp=sharing"",""แผน!HG28"")"),5250)</f>
        <v>5250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IFERROR(__xludf.DUMMYFUNCTION("IMPORTRANGE(""https://docs.google.com/spreadsheets/d/1QqKyyYR6Q21VydFLVH3TRQUabQu_ym0Zz7PgGX0-kHA/edit?usp=sharing"",""แผน!HH28"")"),45451)</f>
        <v>45451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IFERROR(__xludf.DUMMYFUNCTION("IMPORTRANGE(""https://docs.google.com/spreadsheets/d/1QqKyyYR6Q21VydFLVH3TRQUabQu_ym0Zz7PgGX0-kHA/edit?usp=sharing"",""แผน!HG28"")"),5250)</f>
        <v>5250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IFERROR(__xludf.DUMMYFUNCTION("IMPORTRANGE(""https://docs.google.com/spreadsheets/d/1QqKyyYR6Q21VydFLVH3TRQUabQu_ym0Zz7PgGX0-kHA/edit?usp=sharing"",""แผน!HH28"")"),45451)</f>
        <v>45451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IFERROR(__xludf.DUMMYFUNCTION("IMPORTRANGE(""https://docs.google.com/spreadsheets/d/1QqKyyYR6Q21VydFLVH3TRQUabQu_ym0Zz7PgGX0-kHA/edit?usp=sharing"",""แผน!HG28"")"),5250)</f>
        <v>5250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4308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IFERROR(__xludf.DUMMYFUNCTION("IMPORTRANGE(""https://docs.google.com/spreadsheets/d/1QqKyyYR6Q21VydFLVH3TRQUabQu_ym0Zz7PgGX0-kHA/edit?usp=sharing"",""แผน!HJ28"")"),4308)</f>
        <v>4308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IFERROR(__xludf.DUMMYFUNCTION("IMPORTRANGE(""https://docs.google.com/spreadsheets/d/1QqKyyYR6Q21VydFLVH3TRQUabQu_ym0Zz7PgGX0-kHA/edit?usp=sharing"",""แผน!HI28"")"),452)</f>
        <v>452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IFERROR(__xludf.DUMMYFUNCTION("IMPORTRANGE(""https://docs.google.com/spreadsheets/d/1QqKyyYR6Q21VydFLVH3TRQUabQu_ym0Zz7PgGX0-kHA/edit?usp=sharing"",""แผน!HL28"")"),0)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IFERROR(__xludf.DUMMYFUNCTION("IMPORTRANGE(""https://docs.google.com/spreadsheets/d/1QqKyyYR6Q21VydFLVH3TRQUabQu_ym0Zz7PgGX0-kHA/edit?usp=sharing"",""แผน!HK28"")"),0)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155</v>
      </c>
      <c r="J628" s="705">
        <f t="shared" ca="1" si="262"/>
        <v>16</v>
      </c>
      <c r="K628" s="706">
        <f ca="1">IF(I628&gt;0,J628*100/I628,0)</f>
        <v>10.32258064516129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385305</v>
      </c>
      <c r="M629" s="195">
        <f t="shared" si="263"/>
        <v>0</v>
      </c>
      <c r="N629" s="195">
        <f t="shared" si="263"/>
        <v>26000</v>
      </c>
      <c r="O629" s="195">
        <f t="shared" ref="O629:O634" ca="1" si="264">IF(L629&gt;0,N629*100/L629,0)</f>
        <v>6.7479010134828252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385305</v>
      </c>
      <c r="M631" s="93">
        <f t="shared" si="266"/>
        <v>0</v>
      </c>
      <c r="N631" s="93">
        <f t="shared" si="266"/>
        <v>26000</v>
      </c>
      <c r="O631" s="93">
        <f t="shared" ca="1" si="264"/>
        <v>6.7479010134828252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385305</v>
      </c>
      <c r="M632" s="466">
        <f t="shared" si="267"/>
        <v>0</v>
      </c>
      <c r="N632" s="466">
        <f t="shared" si="267"/>
        <v>26000</v>
      </c>
      <c r="O632" s="466">
        <f t="shared" ca="1" si="264"/>
        <v>6.7479010134828252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IFERROR(__xludf.DUMMYFUNCTION("IMPORTRANGE(""https://docs.google.com/spreadsheets/d/1QqKyyYR6Q21VydFLVH3TRQUabQu_ym0Zz7PgGX0-kHA/edit?usp=sharing"",""แผน!HN28"")"),385305)</f>
        <v>385305</v>
      </c>
      <c r="M634" s="93">
        <v>0</v>
      </c>
      <c r="N634" s="93">
        <f>N635+N636+N637+N638</f>
        <v>26000</v>
      </c>
      <c r="O634" s="93">
        <f t="shared" ca="1" si="264"/>
        <v>6.7479010134828252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26000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IFERROR(__xludf.DUMMYFUNCTION("IMPORTRANGE(""https://docs.google.com/spreadsheets/d/1QqKyyYR6Q21VydFLVH3TRQUabQu_ym0Zz7PgGX0-kHA/edit?usp=sharing"",""แผน!HR28"")"),0)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IFERROR(__xludf.DUMMYFUNCTION("IMPORTRANGE(""https://docs.google.com/spreadsheets/d/1XWAQStnk-4SwqDmLtmXYiTMKHgktTP8We1SCoS47DrQ/edit?usp=sharing"",""จัดที่ดิน!AS28"")"),57)</f>
        <v>57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IFERROR(__xludf.DUMMYFUNCTION("IMPORTRANGE(""https://docs.google.com/spreadsheets/d/1XWAQStnk-4SwqDmLtmXYiTMKHgktTP8We1SCoS47DrQ/edit?usp=sharing"",""จัดที่ดิน!AT28"")"),46.55)</f>
        <v>46.55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IFERROR(__xludf.DUMMYFUNCTION("IMPORTRANGE(""https://docs.google.com/spreadsheets/d/1QqKyyYR6Q21VydFLVH3TRQUabQu_ym0Zz7PgGX0-kHA/edit?usp=sharing"",""แผน!HS28"")"),155)</f>
        <v>155</v>
      </c>
      <c r="J647" s="270">
        <f ca="1">IFERROR(__xludf.DUMMYFUNCTION("IMPORTRANGE(""https://docs.google.com/spreadsheets/d/1XWAQStnk-4SwqDmLtmXYiTMKHgktTP8We1SCoS47DrQ/edit?usp=sharing"",""จัดที่ดิน!AU28"")"),0)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IFERROR(__xludf.DUMMYFUNCTION("IMPORTRANGE(""https://docs.google.com/spreadsheets/d/1XWAQStnk-4SwqDmLtmXYiTMKHgktTP8We1SCoS47DrQ/edit?usp=sharing"",""จัดที่ดิน!AV28"")"),0)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IFERROR(__xludf.DUMMYFUNCTION("IMPORTRANGE(""https://docs.google.com/spreadsheets/d/1QqKyyYR6Q21VydFLVH3TRQUabQu_ym0Zz7PgGX0-kHA/edit?usp=sharing"",""แผน!HS28"")"),155)</f>
        <v>155</v>
      </c>
      <c r="J649" s="270">
        <f ca="1">IFERROR(__xludf.DUMMYFUNCTION("IMPORTRANGE(""https://docs.google.com/spreadsheets/d/1XWAQStnk-4SwqDmLtmXYiTMKHgktTP8We1SCoS47DrQ/edit?usp=sharing"",""จัดที่ดิน!AW28"")"),0)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IFERROR(__xludf.DUMMYFUNCTION("IMPORTRANGE(""https://docs.google.com/spreadsheets/d/1XWAQStnk-4SwqDmLtmXYiTMKHgktTP8We1SCoS47DrQ/edit?usp=sharing"",""จัดที่ดิน!AX28"")"),0)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IFERROR(__xludf.DUMMYFUNCTION("IMPORTRANGE(""https://docs.google.com/spreadsheets/d/1QqKyyYR6Q21VydFLVH3TRQUabQu_ym0Zz7PgGX0-kHA/edit?usp=sharing"",""แผน!HS28"")"),155)</f>
        <v>155</v>
      </c>
      <c r="J651" s="270">
        <f ca="1">IFERROR(__xludf.DUMMYFUNCTION("IMPORTRANGE(""https://docs.google.com/spreadsheets/d/1XWAQStnk-4SwqDmLtmXYiTMKHgktTP8We1SCoS47DrQ/edit?usp=sharing"",""จัดที่ดิน!AY28"")"),16)</f>
        <v>16</v>
      </c>
      <c r="K651" s="163">
        <f t="shared" ca="1" si="271"/>
        <v>10.32258064516129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IFERROR(__xludf.DUMMYFUNCTION("IMPORTRANGE(""https://docs.google.com/spreadsheets/d/1XWAQStnk-4SwqDmLtmXYiTMKHgktTP8We1SCoS47DrQ/edit?usp=sharing"",""จัดที่ดิน!AZ28"")"),14)</f>
        <v>14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100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IFERROR(__xludf.DUMMYFUNCTION("IMPORTRANGE(""https://docs.google.com/spreadsheets/d/1QqKyyYR6Q21VydFLVH3TRQUabQu_ym0Zz7PgGX0-kHA/edit?usp=sharing"",""แผน!HV28"")"),12400)</f>
        <v>12400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IFERROR(__xludf.DUMMYFUNCTION("IMPORTRANGE(""https://docs.google.com/spreadsheets/d/1QqKyyYR6Q21VydFLVH3TRQUabQu_ym0Zz7PgGX0-kHA/edit?usp=sharing"",""แผน!IA28"")"),100)</f>
        <v>100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IFERROR(__xludf.DUMMYFUNCTION("IMPORTRANGE(""https://docs.google.com/spreadsheets/d/1QqKyyYR6Q21VydFLVH3TRQUabQu_ym0Zz7PgGX0-kHA/edit?usp=sharing"",""แผน!HZ28"")"),4)</f>
        <v>4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IFERROR(__xludf.DUMMYFUNCTION("IMPORTRANGE(""https://docs.google.com/spreadsheets/d/1QqKyyYR6Q21VydFLVH3TRQUabQu_ym0Zz7PgGX0-kHA/edit?usp=sharing"",""แผน!HZ28"")"),4)</f>
        <v>4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IFERROR(__xludf.DUMMYFUNCTION("IMPORTRANGE(""https://docs.google.com/spreadsheets/d/1QqKyyYR6Q21VydFLVH3TRQUabQu_ym0Zz7PgGX0-kHA/edit?usp=sharing"",""แผน!IB28"")"),0)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3060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3060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3060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IFERROR(__xludf.DUMMYFUNCTION("IMPORTRANGE(""https://docs.google.com/spreadsheets/d/1QqKyyYR6Q21VydFLVH3TRQUabQu_ym0Zz7PgGX0-kHA/edit?usp=sharing"",""แผน!HW28"")"),3060)</f>
        <v>3060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IFERROR(__xludf.DUMMYFUNCTION("IMPORTRANGE(""https://docs.google.com/spreadsheets/d/1QqKyyYR6Q21VydFLVH3TRQUabQu_ym0Zz7PgGX0-kHA/edit?usp=sharing"",""แผน!IC28"")"),0)</f>
        <v>0</v>
      </c>
      <c r="J699" s="270">
        <f ca="1">IFERROR(__xludf.DUMMYFUNCTION("IMPORTRANGE(""https://docs.google.com/spreadsheets/d/1XWAQStnk-4SwqDmLtmXYiTMKHgktTP8We1SCoS47DrQ/edit?usp=sharing"",""จัดที่ดิน!BB28"")"),0)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IFERROR(__xludf.DUMMYFUNCTION("IMPORTRANGE(""https://docs.google.com/spreadsheets/d/1QqKyyYR6Q21VydFLVH3TRQUabQu_ym0Zz7PgGX0-kHA/edit?usp=sharing"",""แผน!ID28"")"),0)</f>
        <v>0</v>
      </c>
      <c r="J700" s="270">
        <f ca="1">IFERROR(__xludf.DUMMYFUNCTION("IMPORTRANGE(""https://docs.google.com/spreadsheets/d/1XWAQStnk-4SwqDmLtmXYiTMKHgktTP8We1SCoS47DrQ/edit?usp=sharing"",""จัดที่ดิน!BD28"")"),0)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IFERROR(__xludf.DUMMYFUNCTION("IMPORTRANGE(""https://docs.google.com/spreadsheets/d/1QqKyyYR6Q21VydFLVH3TRQUabQu_ym0Zz7PgGX0-kHA/edit?usp=sharing"",""แผน!IE28"")"),70)</f>
        <v>70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IFERROR(__xludf.DUMMYFUNCTION("IMPORTRANGE(""https://docs.google.com/spreadsheets/d/1QqKyyYR6Q21VydFLVH3TRQUabQu_ym0Zz7PgGX0-kHA/edit?usp=sharing"",""แผน!IF28"")"),70)</f>
        <v>70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IFERROR(__xludf.DUMMYFUNCTION("IMPORTRANGE(""https://docs.google.com/spreadsheets/d/1QqKyyYR6Q21VydFLVH3TRQUabQu_ym0Zz7PgGX0-kHA/edit?usp=sharing"",""แผน!IG28"")"),0)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IFERROR(__xludf.DUMMYFUNCTION("IMPORTRANGE(""https://docs.google.com/spreadsheets/d/1QqKyyYR6Q21VydFLVH3TRQUabQu_ym0Zz7PgGX0-kHA/edit?usp=sharing"",""แผน!IH28"")"),0)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IFERROR(__xludf.DUMMYFUNCTION("IMPORTRANGE(""https://docs.google.com/spreadsheets/d/1XWAQStnk-4SwqDmLtmXYiTMKHgktTP8We1SCoS47DrQ/edit?usp=sharing"",""จัดที่ดิน!BF28"")"),0)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IFERROR(__xludf.DUMMYFUNCTION("IMPORTRANGE(""https://docs.google.com/spreadsheets/d/1XWAQStnk-4SwqDmLtmXYiTMKHgktTP8We1SCoS47DrQ/edit?usp=sharing"",""จัดที่ดิน!BG28"")"),0)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IFERROR(__xludf.DUMMYFUNCTION("IMPORTRANGE(""https://docs.google.com/spreadsheets/d/1QqKyyYR6Q21VydFLVH3TRQUabQu_ym0Zz7PgGX0-kHA/edit?usp=sharing"",""แผน!II28"")"),14)</f>
        <v>14</v>
      </c>
      <c r="J720" s="270">
        <f ca="1">IFERROR(__xludf.DUMMYFUNCTION("IMPORTRANGE(""https://docs.google.com/spreadsheets/d/1XWAQStnk-4SwqDmLtmXYiTMKHgktTP8We1SCoS47DrQ/edit?usp=sharing"",""จัดที่ดิน!BH28"")"),0)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IFERROR(__xludf.DUMMYFUNCTION("IMPORTRANGE(""https://docs.google.com/spreadsheets/d/1QqKyyYR6Q21VydFLVH3TRQUabQu_ym0Zz7PgGX0-kHA/edit?usp=sharing"",""แผน!IJ28"")"),2)</f>
        <v>2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IFERROR(__xludf.DUMMYFUNCTION("IMPORTRANGE(""https://docs.google.com/spreadsheets/d/1QqKyyYR6Q21VydFLVH3TRQUabQu_ym0Zz7PgGX0-kHA/edit?usp=sharing"",""แผน!IK28"")"),29)</f>
        <v>29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IFERROR(__xludf.DUMMYFUNCTION("IMPORTRANGE(""https://docs.google.com/spreadsheets/d/1QqKyyYR6Q21VydFLVH3TRQUabQu_ym0Zz7PgGX0-kHA/edit?usp=sharing"",""แผน!IL28"")"),2)</f>
        <v>2</v>
      </c>
      <c r="J723" s="270">
        <f ca="1">IFERROR(__xludf.DUMMYFUNCTION("IMPORTRANGE(""https://docs.google.com/spreadsheets/d/1XWAQStnk-4SwqDmLtmXYiTMKHgktTP8We1SCoS47DrQ/edit?usp=sharing"",""จัดที่ดิน!BM28"")"),0)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IFERROR(__xludf.DUMMYFUNCTION("IMPORTRANGE(""https://docs.google.com/spreadsheets/d/1XWAQStnk-4SwqDmLtmXYiTMKHgktTP8We1SCoS47DrQ/edit?usp=sharing"",""จัดที่ดิน!BN28"")"),0)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IFERROR(__xludf.DUMMYFUNCTION("IMPORTRANGE(""https://docs.google.com/spreadsheets/d/1QqKyyYR6Q21VydFLVH3TRQUabQu_ym0Zz7PgGX0-kHA/edit?usp=sharing"",""แผน!IM28"")"),29)</f>
        <v>29</v>
      </c>
      <c r="J725" s="270">
        <f ca="1">IFERROR(__xludf.DUMMYFUNCTION("IMPORTRANGE(""https://docs.google.com/spreadsheets/d/1XWAQStnk-4SwqDmLtmXYiTMKHgktTP8We1SCoS47DrQ/edit?usp=sharing"",""จัดที่ดิน!BO28"")"),0)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IFERROR(__xludf.DUMMYFUNCTION("IMPORTRANGE(""https://docs.google.com/spreadsheets/d/1QqKyyYR6Q21VydFLVH3TRQUabQu_ym0Zz7PgGX0-kHA/edit?usp=sharing"",""แผน!IN28"")"),0)</f>
        <v>0</v>
      </c>
      <c r="J726" s="270">
        <f ca="1">IFERROR(__xludf.DUMMYFUNCTION("IMPORTRANGE(""https://docs.google.com/spreadsheets/d/1XWAQStnk-4SwqDmLtmXYiTMKHgktTP8We1SCoS47DrQ/edit?usp=sharing"",""จัดที่ดิน!BR28"")"),0)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IFERROR(__xludf.DUMMYFUNCTION("IMPORTRANGE(""https://docs.google.com/spreadsheets/d/1XWAQStnk-4SwqDmLtmXYiTMKHgktTP8We1SCoS47DrQ/edit?usp=sharing"",""จัดที่ดิน!BS28"")"),0)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IFERROR(__xludf.DUMMYFUNCTION("IMPORTRANGE(""https://docs.google.com/spreadsheets/d/1QqKyyYR6Q21VydFLVH3TRQUabQu_ym0Zz7PgGX0-kHA/edit?usp=sharing"",""แผน!IO28"")"),0)</f>
        <v>0</v>
      </c>
      <c r="J728" s="270">
        <f ca="1">IFERROR(__xludf.DUMMYFUNCTION("IMPORTRANGE(""https://docs.google.com/spreadsheets/d/1XWAQStnk-4SwqDmLtmXYiTMKHgktTP8We1SCoS47DrQ/edit?usp=sharing"",""จัดที่ดิน!BT28"")"),0)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IFERROR(__xludf.DUMMYFUNCTION("IMPORTRANGE(""https://docs.google.com/spreadsheets/d/1QqKyyYR6Q21VydFLVH3TRQUabQu_ym0Zz7PgGX0-kHA/edit?usp=sharing"",""แผน!IP28"")"),0)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84">
        <f t="shared" ref="I785:J785" ca="1" si="318">I800</f>
        <v>0</v>
      </c>
      <c r="J785" s="771">
        <f t="shared" ca="1" si="318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27"/>
      <c r="F789" s="727"/>
      <c r="G789" s="189"/>
      <c r="H789" s="776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27"/>
      <c r="D792" s="727"/>
      <c r="E792" s="727"/>
      <c r="F792" s="727" t="s">
        <v>186</v>
      </c>
      <c r="G792" s="189"/>
      <c r="H792" s="776" t="s">
        <v>12</v>
      </c>
      <c r="I792" s="270"/>
      <c r="J792" s="270"/>
      <c r="K792" s="466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27"/>
      <c r="D793" s="727"/>
      <c r="E793" s="727"/>
      <c r="F793" s="727" t="s">
        <v>187</v>
      </c>
      <c r="G793" s="189"/>
      <c r="H793" s="776" t="s">
        <v>12</v>
      </c>
      <c r="I793" s="270"/>
      <c r="J793" s="270"/>
      <c r="K793" s="466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27"/>
      <c r="D794" s="727"/>
      <c r="E794" s="727"/>
      <c r="F794" s="727" t="s">
        <v>188</v>
      </c>
      <c r="G794" s="189"/>
      <c r="H794" s="776" t="s">
        <v>12</v>
      </c>
      <c r="I794" s="270"/>
      <c r="J794" s="270"/>
      <c r="K794" s="466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27"/>
      <c r="D795" s="727"/>
      <c r="E795" s="727"/>
      <c r="F795" s="727" t="s">
        <v>189</v>
      </c>
      <c r="G795" s="189"/>
      <c r="H795" s="776" t="s">
        <v>12</v>
      </c>
      <c r="I795" s="270"/>
      <c r="J795" s="270"/>
      <c r="K795" s="466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27"/>
      <c r="D796" s="571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774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6"/>
      <c r="H800" s="775" t="s">
        <v>46</v>
      </c>
      <c r="I800" s="184">
        <f ca="1">IFERROR(__xludf.DUMMYFUNCTION("IMPORTRANGE(""https://docs.google.com/spreadsheets/d/1QqKyyYR6Q21VydFLVH3TRQUabQu_ym0Zz7PgGX0-kHA/edit?usp=sharing"",""แผน!JN28"")"),0)</f>
        <v>0</v>
      </c>
      <c r="J800" s="184">
        <f ca="1">IFERROR(__xludf.DUMMYFUNCTION("IMPORTRANGE(""https://docs.google.com/spreadsheets/d/1MaWodYyGHDf7siQLGxnXhG4mBNTNIuy296niS2xXulU/edit?usp=sharing"",""RTK!H28"")"),0)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6"/>
      <c r="H801" s="776" t="s">
        <v>34</v>
      </c>
      <c r="I801" s="184"/>
      <c r="J801" s="270">
        <f ca="1">IFERROR(__xludf.DUMMYFUNCTION("IMPORTRANGE(""https://docs.google.com/spreadsheets/d/1MaWodYyGHDf7siQLGxnXhG4mBNTNIuy296niS2xXulU/edit?usp=sharing"",""RTK!I28"")"),0)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4"/>
      <c r="F802" s="684" t="s">
        <v>321</v>
      </c>
      <c r="G802" s="582"/>
      <c r="H802" s="619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4"/>
      <c r="F803" s="684"/>
      <c r="G803" s="582"/>
      <c r="H803" s="619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7">L806+L807</f>
        <v>0</v>
      </c>
      <c r="M805" s="613">
        <f t="shared" si="327"/>
        <v>0</v>
      </c>
      <c r="N805" s="613">
        <f t="shared" si="327"/>
        <v>0</v>
      </c>
      <c r="O805" s="613">
        <f t="shared" ref="O805:O810" si="328">IF(L805&gt;0,N805*100/L805,0)</f>
        <v>0</v>
      </c>
      <c r="P805" s="613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1">L809+L810</f>
        <v>0</v>
      </c>
      <c r="M808" s="613">
        <f t="shared" si="331"/>
        <v>0</v>
      </c>
      <c r="N808" s="613">
        <f t="shared" si="331"/>
        <v>0</v>
      </c>
      <c r="O808" s="613">
        <f t="shared" si="328"/>
        <v>0</v>
      </c>
      <c r="P808" s="613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2">L816+L817</f>
        <v>0</v>
      </c>
      <c r="M815" s="613">
        <f t="shared" si="332"/>
        <v>0</v>
      </c>
      <c r="N815" s="613">
        <f t="shared" si="332"/>
        <v>0</v>
      </c>
      <c r="O815" s="613">
        <f t="shared" ref="O815:O817" si="333">IF(L815&gt;0,N815*100/L815,0)</f>
        <v>0</v>
      </c>
      <c r="P815" s="613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270">
        <f ca="1">IFERROR(__xludf.DUMMYFUNCTION("IMPORTRANGE(""https://docs.google.com/spreadsheets/d/19vJNZY_5yjcGF2XGBMNZRCAIB0Kwfpjp8YEOfu-bneM/edit?usp=sharing"",""งานกองทุน!F28"")"),867006.32)</f>
        <v>867006.32</v>
      </c>
      <c r="K821" s="466">
        <f t="shared" ref="K821:K828" ca="1" si="335">IF(I821&gt;0,J821*100/I821,0)</f>
        <v>12.304013815362573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IFERROR(__xludf.DUMMYFUNCTION("IMPORTRANGE(""https://docs.google.com/spreadsheets/d/19vJNZY_5yjcGF2XGBMNZRCAIB0Kwfpjp8YEOfu-bneM/edit?usp=sharing"",""งานกองทุน!C28"")"),356)</f>
        <v>356</v>
      </c>
      <c r="J822" s="270">
        <f ca="1">IFERROR(__xludf.DUMMYFUNCTION("IMPORTRANGE(""https://docs.google.com/spreadsheets/d/19vJNZY_5yjcGF2XGBMNZRCAIB0Kwfpjp8YEOfu-bneM/edit?usp=sharing"",""งานกองทุน!E28"")"),88)</f>
        <v>88</v>
      </c>
      <c r="K822" s="466">
        <f t="shared" ca="1" si="335"/>
        <v>24.719101123595507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270">
        <f ca="1">IFERROR(__xludf.DUMMYFUNCTION("IMPORTRANGE(""https://docs.google.com/spreadsheets/d/19vJNZY_5yjcGF2XGBMNZRCAIB0Kwfpjp8YEOfu-bneM/edit?usp=sharing"",""งานกองทุน!K28"")"),610742.17)</f>
        <v>610742.17000000004</v>
      </c>
      <c r="K823" s="466">
        <f t="shared" ca="1" si="335"/>
        <v>9.1618960291198999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IFERROR(__xludf.DUMMYFUNCTION("IMPORTRANGE(""https://docs.google.com/spreadsheets/d/19vJNZY_5yjcGF2XGBMNZRCAIB0Kwfpjp8YEOfu-bneM/edit?usp=sharing"",""งานกองทุน!H28"")"),246)</f>
        <v>246</v>
      </c>
      <c r="J824" s="270">
        <f ca="1">IFERROR(__xludf.DUMMYFUNCTION("IMPORTRANGE(""https://docs.google.com/spreadsheets/d/19vJNZY_5yjcGF2XGBMNZRCAIB0Kwfpjp8YEOfu-bneM/edit?usp=sharing"",""งานกองทุน!J28"")"),147)</f>
        <v>147</v>
      </c>
      <c r="K824" s="466">
        <f t="shared" ca="1" si="335"/>
        <v>59.756097560975611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270">
        <f ca="1">IFERROR(__xludf.DUMMYFUNCTION("IMPORTRANGE(""https://docs.google.com/spreadsheets/d/19vJNZY_5yjcGF2XGBMNZRCAIB0Kwfpjp8YEOfu-bneM/edit?usp=sharing"",""งานกองทุน!P28"")"),351345.01)</f>
        <v>351345.01</v>
      </c>
      <c r="K825" s="466">
        <f t="shared" ca="1" si="335"/>
        <v>14.277190865444238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IFERROR(__xludf.DUMMYFUNCTION("IMPORTRANGE(""https://docs.google.com/spreadsheets/d/19vJNZY_5yjcGF2XGBMNZRCAIB0Kwfpjp8YEOfu-bneM/edit?usp=sharing"",""งานกองทุน!M28"")"),181)</f>
        <v>181</v>
      </c>
      <c r="J826" s="270">
        <f ca="1">IFERROR(__xludf.DUMMYFUNCTION("IMPORTRANGE(""https://docs.google.com/spreadsheets/d/19vJNZY_5yjcGF2XGBMNZRCAIB0Kwfpjp8YEOfu-bneM/edit?usp=sharing"",""งานกองทุน!O28"")"),32)</f>
        <v>32</v>
      </c>
      <c r="K826" s="466">
        <f t="shared" ca="1" si="335"/>
        <v>17.679558011049725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IFERROR(__xludf.DUMMYFUNCTION("IMPORTRANGE(""https://docs.google.com/spreadsheets/d/19vJNZY_5yjcGF2XGBMNZRCAIB0Kwfpjp8YEOfu-bneM/edit?usp=sharing"",""งานกองทุน!S28"")"),5000000)</f>
        <v>5000000</v>
      </c>
      <c r="J827" s="270">
        <f ca="1">IFERROR(__xludf.DUMMYFUNCTION("IMPORTRANGE(""https://docs.google.com/spreadsheets/d/19vJNZY_5yjcGF2XGBMNZRCAIB0Kwfpjp8YEOfu-bneM/edit?usp=sharing"",""งานกองทุน!U28"")"),0)</f>
        <v>0</v>
      </c>
      <c r="K827" s="466">
        <f t="shared" ca="1" si="335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IFERROR(__xludf.DUMMYFUNCTION("IMPORTRANGE(""https://docs.google.com/spreadsheets/d/19vJNZY_5yjcGF2XGBMNZRCAIB0Kwfpjp8YEOfu-bneM/edit?usp=sharing"",""งานกองทุน!R28"")"),179)</f>
        <v>179</v>
      </c>
      <c r="J828" s="469">
        <f ca="1">IFERROR(__xludf.DUMMYFUNCTION("IMPORTRANGE(""https://docs.google.com/spreadsheets/d/19vJNZY_5yjcGF2XGBMNZRCAIB0Kwfpjp8YEOfu-bneM/edit?usp=sharing"",""งานกองทุน!T28"")"),0)</f>
        <v>0</v>
      </c>
      <c r="K828" s="470">
        <f t="shared" ca="1" si="335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AA94C-D82A-4091-8116-49BD694960E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8.7109375" style="801" bestFit="1" customWidth="1"/>
    <col min="10" max="10" width="16.8554687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353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4984097</v>
      </c>
      <c r="M8" s="22">
        <f t="shared" ca="1" si="0"/>
        <v>1920101</v>
      </c>
      <c r="N8" s="22">
        <f t="shared" ca="1" si="0"/>
        <v>1681019.42</v>
      </c>
      <c r="O8" s="22">
        <f t="shared" ref="O8:O16" ca="1" si="1">IF(L8&gt;0,N8*100/L8,0)</f>
        <v>33.727662603677253</v>
      </c>
      <c r="P8" s="22">
        <f t="shared" ref="P8:P16" ca="1" si="2">IF(M8&gt;0,N8*100/M8,0)</f>
        <v>87.5484893763401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4984097</v>
      </c>
      <c r="M10" s="30">
        <f t="shared" ca="1" si="3"/>
        <v>1920101</v>
      </c>
      <c r="N10" s="30">
        <f t="shared" ca="1" si="3"/>
        <v>1681019.42</v>
      </c>
      <c r="O10" s="30">
        <f t="shared" ca="1" si="1"/>
        <v>33.727662603677253</v>
      </c>
      <c r="P10" s="30">
        <f t="shared" ca="1" si="2"/>
        <v>87.5484893763401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4565297</v>
      </c>
      <c r="M11" s="466">
        <f t="shared" ca="1" si="4"/>
        <v>1509635</v>
      </c>
      <c r="N11" s="466">
        <f t="shared" ca="1" si="4"/>
        <v>1270553.42</v>
      </c>
      <c r="O11" s="466">
        <f t="shared" ca="1" si="1"/>
        <v>27.830684838248203</v>
      </c>
      <c r="P11" s="466">
        <f t="shared" ca="1" si="2"/>
        <v>84.162954621481347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4565297</v>
      </c>
      <c r="M13" s="93">
        <f t="shared" ca="1" si="5"/>
        <v>1509635</v>
      </c>
      <c r="N13" s="93">
        <f t="shared" ca="1" si="5"/>
        <v>1270553.42</v>
      </c>
      <c r="O13" s="93">
        <f t="shared" ca="1" si="1"/>
        <v>27.830684838248203</v>
      </c>
      <c r="P13" s="93">
        <f t="shared" ca="1" si="2"/>
        <v>84.162954621481347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418800</v>
      </c>
      <c r="M14" s="466">
        <f t="shared" ca="1" si="6"/>
        <v>410466</v>
      </c>
      <c r="N14" s="466">
        <f t="shared" ca="1" si="6"/>
        <v>410466</v>
      </c>
      <c r="O14" s="466">
        <f t="shared" ca="1" si="1"/>
        <v>98.010028653295123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418800</v>
      </c>
      <c r="M16" s="52">
        <f t="shared" ca="1" si="7"/>
        <v>410466</v>
      </c>
      <c r="N16" s="52">
        <f t="shared" ca="1" si="7"/>
        <v>410466</v>
      </c>
      <c r="O16" s="52">
        <f t="shared" ca="1" si="1"/>
        <v>98.010028653295123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3408865</v>
      </c>
      <c r="M18" s="22">
        <f t="shared" ca="1" si="8"/>
        <v>1920101</v>
      </c>
      <c r="N18" s="22">
        <f t="shared" ca="1" si="8"/>
        <v>1371499.92</v>
      </c>
      <c r="O18" s="22">
        <f t="shared" ref="O18:O26" ca="1" si="9">IF(L18&gt;0,N18*100/L18,0)</f>
        <v>40.233330448697735</v>
      </c>
      <c r="P18" s="22">
        <f t="shared" ref="P18:P26" ca="1" si="10">IF(M18&gt;0,N18*100/M18,0)</f>
        <v>71.428530061699874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3408865</v>
      </c>
      <c r="M20" s="30">
        <f t="shared" ca="1" si="11"/>
        <v>1920101</v>
      </c>
      <c r="N20" s="30">
        <f t="shared" ca="1" si="11"/>
        <v>1371499.92</v>
      </c>
      <c r="O20" s="30">
        <f t="shared" ca="1" si="9"/>
        <v>40.233330448697735</v>
      </c>
      <c r="P20" s="30">
        <f t="shared" ca="1" si="10"/>
        <v>71.428530061699874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2990065</v>
      </c>
      <c r="M21" s="466">
        <f t="shared" ca="1" si="12"/>
        <v>1509635</v>
      </c>
      <c r="N21" s="466">
        <f t="shared" ca="1" si="12"/>
        <v>961033.91999999993</v>
      </c>
      <c r="O21" s="466">
        <f t="shared" ca="1" si="9"/>
        <v>32.140903960281797</v>
      </c>
      <c r="P21" s="466">
        <f t="shared" ca="1" si="10"/>
        <v>63.660018481288525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2990065</v>
      </c>
      <c r="M23" s="93">
        <f t="shared" ca="1" si="13"/>
        <v>1509635</v>
      </c>
      <c r="N23" s="93">
        <f t="shared" ca="1" si="13"/>
        <v>961033.91999999993</v>
      </c>
      <c r="O23" s="93">
        <f t="shared" ca="1" si="9"/>
        <v>32.140903960281797</v>
      </c>
      <c r="P23" s="93">
        <f t="shared" ca="1" si="10"/>
        <v>63.660018481288525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418800</v>
      </c>
      <c r="M24" s="466">
        <f t="shared" ca="1" si="14"/>
        <v>410466</v>
      </c>
      <c r="N24" s="466">
        <f t="shared" ca="1" si="14"/>
        <v>410466</v>
      </c>
      <c r="O24" s="466">
        <f t="shared" ca="1" si="9"/>
        <v>98.010028653295123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418800</v>
      </c>
      <c r="M26" s="52">
        <f t="shared" ca="1" si="15"/>
        <v>410466</v>
      </c>
      <c r="N26" s="52">
        <f t="shared" ca="1" si="15"/>
        <v>410466</v>
      </c>
      <c r="O26" s="52">
        <f t="shared" ca="1" si="9"/>
        <v>98.010028653295123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1575232</v>
      </c>
      <c r="M28" s="22">
        <f t="shared" si="16"/>
        <v>0</v>
      </c>
      <c r="N28" s="22">
        <f t="shared" si="16"/>
        <v>309519.5</v>
      </c>
      <c r="O28" s="22">
        <f t="shared" ref="O28:O37" ca="1" si="17">IF(L28&gt;0,N28*100/L28,0)</f>
        <v>19.649137396904074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1575232</v>
      </c>
      <c r="M30" s="30">
        <f t="shared" si="19"/>
        <v>0</v>
      </c>
      <c r="N30" s="30">
        <f t="shared" si="19"/>
        <v>309519.5</v>
      </c>
      <c r="O30" s="30">
        <f t="shared" ca="1" si="17"/>
        <v>19.649137396904074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1575232</v>
      </c>
      <c r="M31" s="466">
        <f t="shared" si="20"/>
        <v>0</v>
      </c>
      <c r="N31" s="466">
        <f t="shared" si="20"/>
        <v>309519.5</v>
      </c>
      <c r="O31" s="466">
        <f t="shared" ca="1" si="17"/>
        <v>19.649137396904074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1575232</v>
      </c>
      <c r="M33" s="93">
        <f t="shared" si="21"/>
        <v>0</v>
      </c>
      <c r="N33" s="93">
        <f t="shared" si="21"/>
        <v>309519.5</v>
      </c>
      <c r="O33" s="93">
        <f t="shared" ca="1" si="17"/>
        <v>19.649137396904074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3408865</v>
      </c>
      <c r="M37" s="832">
        <f t="shared" ca="1" si="24"/>
        <v>1920101</v>
      </c>
      <c r="N37" s="832">
        <f t="shared" ca="1" si="24"/>
        <v>1371499.92</v>
      </c>
      <c r="O37" s="832">
        <f t="shared" ca="1" si="17"/>
        <v>40.233330448697735</v>
      </c>
      <c r="P37" s="832">
        <f t="shared" ca="1" si="18"/>
        <v>71.428530061699874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493450</v>
      </c>
      <c r="M41" s="85">
        <f t="shared" ca="1" si="25"/>
        <v>255500</v>
      </c>
      <c r="N41" s="85">
        <f t="shared" ca="1" si="25"/>
        <v>176247</v>
      </c>
      <c r="O41" s="85">
        <f t="shared" ref="O41:O49" ca="1" si="26">IF(L41&gt;0,N41*100/L41,0)</f>
        <v>35.717296585267</v>
      </c>
      <c r="P41" s="85">
        <f t="shared" ref="P41:P49" ca="1" si="27">IF(M41&gt;0,N41*100/M41,0)</f>
        <v>68.981213307240708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493450</v>
      </c>
      <c r="M43" s="92">
        <f t="shared" ca="1" si="28"/>
        <v>255500</v>
      </c>
      <c r="N43" s="92">
        <f t="shared" ca="1" si="28"/>
        <v>176247</v>
      </c>
      <c r="O43" s="92">
        <f t="shared" ca="1" si="26"/>
        <v>35.717296585267</v>
      </c>
      <c r="P43" s="92">
        <f t="shared" ca="1" si="27"/>
        <v>68.981213307240708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493450</v>
      </c>
      <c r="M44" s="466">
        <f t="shared" ca="1" si="29"/>
        <v>255500</v>
      </c>
      <c r="N44" s="466">
        <f t="shared" ca="1" si="29"/>
        <v>176247</v>
      </c>
      <c r="O44" s="466">
        <f t="shared" ca="1" si="26"/>
        <v>35.717296585267</v>
      </c>
      <c r="P44" s="466">
        <f t="shared" ca="1" si="27"/>
        <v>68.981213307240708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IFERROR(__xludf.DUMMYFUNCTION("IMPORTRANGE(""https://docs.google.com/spreadsheets/d/1MeEWN-I1oV_STSDYn1IFDPWt_1FKiwhDph83XaGc0o0/edit?usp=sharing"",""งบพรบ!M29"")"),493450)</f>
        <v>493450</v>
      </c>
      <c r="M46" s="93">
        <f ca="1">IFERROR(__xludf.DUMMYFUNCTION("IMPORTRANGE(""https://docs.google.com/spreadsheets/d/1MeEWN-I1oV_STSDYn1IFDPWt_1FKiwhDph83XaGc0o0/edit?usp=sharing"",""งบพรบ!R29"")"),255500)</f>
        <v>255500</v>
      </c>
      <c r="N46" s="93">
        <f ca="1">IFERROR(__xludf.DUMMYFUNCTION("IMPORTRANGE(""https://docs.google.com/spreadsheets/d/1MeEWN-I1oV_STSDYn1IFDPWt_1FKiwhDph83XaGc0o0/edit?usp=sharing"",""งบพรบ!T29"")"),176247)</f>
        <v>176247</v>
      </c>
      <c r="O46" s="93">
        <f t="shared" ca="1" si="26"/>
        <v>35.717296585267</v>
      </c>
      <c r="P46" s="93">
        <f t="shared" ca="1" si="27"/>
        <v>68.981213307240708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IFERROR(__xludf.DUMMYFUNCTION("IMPORTRANGE(""https://docs.google.com/spreadsheets/d/1MeEWN-I1oV_STSDYn1IFDPWt_1FKiwhDph83XaGc0o0/edit?usp=sharing"",""งบพรบ!P29"")"),0)</f>
        <v>0</v>
      </c>
      <c r="M49" s="52">
        <f ca="1">IFERROR(__xludf.DUMMYFUNCTION("IMPORTRANGE(""https://docs.google.com/spreadsheets/d/1MeEWN-I1oV_STSDYn1IFDPWt_1FKiwhDph83XaGc0o0/edit?usp=sharing"",""งบพรบ!S29"")"),0)</f>
        <v>0</v>
      </c>
      <c r="N49" s="52">
        <f ca="1">IFERROR(__xludf.DUMMYFUNCTION("IMPORTRANGE(""https://docs.google.com/spreadsheets/d/1MeEWN-I1oV_STSDYn1IFDPWt_1FKiwhDph83XaGc0o0/edit?usp=sharing"",""งบพรบ!U29"")"),0)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1086200</v>
      </c>
      <c r="M53" s="116">
        <f t="shared" ca="1" si="31"/>
        <v>710266</v>
      </c>
      <c r="N53" s="116">
        <f t="shared" ca="1" si="31"/>
        <v>619566.16999999993</v>
      </c>
      <c r="O53" s="116">
        <f t="shared" ref="O53:O61" ca="1" si="32">IF(L53&gt;0,N53*100/L53,0)</f>
        <v>57.039787331983057</v>
      </c>
      <c r="P53" s="116">
        <f t="shared" ref="P53:P61" ca="1" si="33">IF(M53&gt;0,N53*100/M53,0)</f>
        <v>87.230160249821893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1086200</v>
      </c>
      <c r="M55" s="123">
        <f t="shared" ca="1" si="34"/>
        <v>710266</v>
      </c>
      <c r="N55" s="123">
        <f t="shared" ca="1" si="34"/>
        <v>619566.16999999993</v>
      </c>
      <c r="O55" s="123">
        <f t="shared" ca="1" si="32"/>
        <v>57.039787331983057</v>
      </c>
      <c r="P55" s="123">
        <f t="shared" ca="1" si="33"/>
        <v>87.230160249821893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736200</v>
      </c>
      <c r="M56" s="466">
        <f t="shared" ca="1" si="35"/>
        <v>368100</v>
      </c>
      <c r="N56" s="466">
        <f t="shared" ca="1" si="35"/>
        <v>277400.17</v>
      </c>
      <c r="O56" s="466">
        <f t="shared" ca="1" si="32"/>
        <v>37.680001358326543</v>
      </c>
      <c r="P56" s="466">
        <f t="shared" ca="1" si="33"/>
        <v>75.360002716653085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IFERROR(__xludf.DUMMYFUNCTION("IMPORTRANGE(""https://docs.google.com/spreadsheets/d/1MeEWN-I1oV_STSDYn1IFDPWt_1FKiwhDph83XaGc0o0/edit?usp=sharing"",""งบพรบ!W29"")"),736200)</f>
        <v>736200</v>
      </c>
      <c r="M58" s="93">
        <f ca="1">IFERROR(__xludf.DUMMYFUNCTION("IMPORTRANGE(""https://docs.google.com/spreadsheets/d/1MeEWN-I1oV_STSDYn1IFDPWt_1FKiwhDph83XaGc0o0/edit?usp=sharing"",""งบพรบ!AB29"")"),368100)</f>
        <v>368100</v>
      </c>
      <c r="N58" s="93">
        <f ca="1">IFERROR(__xludf.DUMMYFUNCTION("IMPORTRANGE(""https://docs.google.com/spreadsheets/d/1MeEWN-I1oV_STSDYn1IFDPWt_1FKiwhDph83XaGc0o0/edit?usp=sharing"",""งบพรบ!AD29"")"),277400.17)</f>
        <v>277400.17</v>
      </c>
      <c r="O58" s="93">
        <f t="shared" ca="1" si="32"/>
        <v>37.680001358326543</v>
      </c>
      <c r="P58" s="93">
        <f t="shared" ca="1" si="33"/>
        <v>75.360002716653085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342166</v>
      </c>
      <c r="N59" s="466">
        <f t="shared" ca="1" si="36"/>
        <v>342166</v>
      </c>
      <c r="O59" s="466">
        <f t="shared" ca="1" si="32"/>
        <v>97.761714285714291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IFERROR(__xludf.DUMMYFUNCTION("IMPORTRANGE(""https://docs.google.com/spreadsheets/d/1MeEWN-I1oV_STSDYn1IFDPWt_1FKiwhDph83XaGc0o0/edit?usp=sharing"",""งบพรบ!Z29"")"),350000)</f>
        <v>350000</v>
      </c>
      <c r="M61" s="52">
        <f ca="1">IFERROR(__xludf.DUMMYFUNCTION("IMPORTRANGE(""https://docs.google.com/spreadsheets/d/1MeEWN-I1oV_STSDYn1IFDPWt_1FKiwhDph83XaGc0o0/edit?usp=sharing"",""งบพรบ!AC29"")"),342166)</f>
        <v>342166</v>
      </c>
      <c r="N61" s="52">
        <f ca="1">IFERROR(__xludf.DUMMYFUNCTION("IMPORTRANGE(""https://docs.google.com/spreadsheets/d/1MeEWN-I1oV_STSDYn1IFDPWt_1FKiwhDph83XaGc0o0/edit?usp=sharing"",""งบพรบ!AE29"")"),342166)</f>
        <v>342166</v>
      </c>
      <c r="O61" s="52">
        <f t="shared" ca="1" si="32"/>
        <v>97.761714285714291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IFERROR(__xludf.DUMMYFUNCTION("IMPORTRANGE(""https://docs.google.com/spreadsheets/d/1MeEWN-I1oV_STSDYn1IFDPWt_1FKiwhDph83XaGc0o0/edit?usp=sharing"",""งบพรบ!AG29"")"),0)</f>
        <v>0</v>
      </c>
      <c r="M71" s="93">
        <f ca="1">IFERROR(__xludf.DUMMYFUNCTION("IMPORTRANGE(""https://docs.google.com/spreadsheets/d/1MeEWN-I1oV_STSDYn1IFDPWt_1FKiwhDph83XaGc0o0/edit?usp=sharing"",""งบพรบ!AL29"")"),0)</f>
        <v>0</v>
      </c>
      <c r="N71" s="93">
        <f ca="1">IFERROR(__xludf.DUMMYFUNCTION("IMPORTRANGE(""https://docs.google.com/spreadsheets/d/1MeEWN-I1oV_STSDYn1IFDPWt_1FKiwhDph83XaGc0o0/edit?usp=sharing"",""งบพรบ!AN29"")"),0)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IFERROR(__xludf.DUMMYFUNCTION("IMPORTRANGE(""https://docs.google.com/spreadsheets/d/1MeEWN-I1oV_STSDYn1IFDPWt_1FKiwhDph83XaGc0o0/edit?usp=sharing"",""งบพรบ!AJ29"")"),0)</f>
        <v>0</v>
      </c>
      <c r="M74" s="93">
        <f ca="1">IFERROR(__xludf.DUMMYFUNCTION("IMPORTRANGE(""https://docs.google.com/spreadsheets/d/1MeEWN-I1oV_STSDYn1IFDPWt_1FKiwhDph83XaGc0o0/edit?usp=sharing"",""งบพรบ!AM29"")"),0)</f>
        <v>0</v>
      </c>
      <c r="N74" s="93">
        <f ca="1">IFERROR(__xludf.DUMMYFUNCTION("IMPORTRANGE(""https://docs.google.com/spreadsheets/d/1MeEWN-I1oV_STSDYn1IFDPWt_1FKiwhDph83XaGc0o0/edit?usp=sharing"",""งบพรบ!AO29"")"),0)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23840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23840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23840</v>
      </c>
      <c r="N91" s="466">
        <f t="shared" ca="1" si="53"/>
        <v>0</v>
      </c>
      <c r="O91" s="466">
        <f t="shared" ca="1" si="50"/>
        <v>0</v>
      </c>
      <c r="P91" s="46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IFERROR(__xludf.DUMMYFUNCTION("IMPORTRANGE(""https://docs.google.com/spreadsheets/d/1MeEWN-I1oV_STSDYn1IFDPWt_1FKiwhDph83XaGc0o0/edit?usp=sharing"",""งบพรบ!AQ29"")"),86040)</f>
        <v>86040</v>
      </c>
      <c r="M93" s="93">
        <f ca="1">IFERROR(__xludf.DUMMYFUNCTION("IMPORTRANGE(""https://docs.google.com/spreadsheets/d/1MeEWN-I1oV_STSDYn1IFDPWt_1FKiwhDph83XaGc0o0/edit?usp=sharing"",""งบพรบ!AV29"")"),23840)</f>
        <v>23840</v>
      </c>
      <c r="N93" s="93">
        <f ca="1">IFERROR(__xludf.DUMMYFUNCTION("IMPORTRANGE(""https://docs.google.com/spreadsheets/d/1MeEWN-I1oV_STSDYn1IFDPWt_1FKiwhDph83XaGc0o0/edit?usp=sharing"",""งบพรบ!AX29"")"),0)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IFERROR(__xludf.DUMMYFUNCTION("IMPORTRANGE(""https://docs.google.com/spreadsheets/d/1MeEWN-I1oV_STSDYn1IFDPWt_1FKiwhDph83XaGc0o0/edit?usp=sharing"",""งบพรบ!AT29"")"),0)</f>
        <v>0</v>
      </c>
      <c r="M96" s="93">
        <f ca="1">IFERROR(__xludf.DUMMYFUNCTION("IMPORTRANGE(""https://docs.google.com/spreadsheets/d/1MeEWN-I1oV_STSDYn1IFDPWt_1FKiwhDph83XaGc0o0/edit?usp=sharing"",""งบพรบ!AW29"")"),0)</f>
        <v>0</v>
      </c>
      <c r="N96" s="93">
        <f ca="1">IFERROR(__xludf.DUMMYFUNCTION("IMPORTRANGE(""https://docs.google.com/spreadsheets/d/1MeEWN-I1oV_STSDYn1IFDPWt_1FKiwhDph83XaGc0o0/edit?usp=sharing"",""งบพรบ!AY29"")"),0)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IFERROR(__xludf.DUMMYFUNCTION("IMPORTRANGE(""https://docs.google.com/spreadsheets/d/1QqKyyYR6Q21VydFLVH3TRQUabQu_ym0Zz7PgGX0-kHA/edit?usp=sharing"",""แผน!K29"")"),30)</f>
        <v>30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IFERROR(__xludf.DUMMYFUNCTION("IMPORTRANGE(""https://docs.google.com/spreadsheets/d/1QqKyyYR6Q21VydFLVH3TRQUabQu_ym0Zz7PgGX0-kHA/edit?usp=sharing"",""แผน!L29"")"),10)</f>
        <v>10</v>
      </c>
      <c r="J99" s="270">
        <f>J104</f>
        <v>0</v>
      </c>
      <c r="K99" s="466">
        <f t="shared" ca="1" si="55"/>
        <v>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IFERROR(__xludf.DUMMYFUNCTION("IMPORTRANGE(""https://docs.google.com/spreadsheets/d/1QqKyyYR6Q21VydFLVH3TRQUabQu_ym0Zz7PgGX0-kHA/edit?usp=sharing"",""แผน!M29"")"),2)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IFERROR(__xludf.DUMMYFUNCTION("IMPORTRANGE(""https://docs.google.com/spreadsheets/d/1QqKyyYR6Q21VydFLVH3TRQUabQu_ym0Zz7PgGX0-kHA/edit?usp=sharing"",""แผน!N29"")"),30)</f>
        <v>30</v>
      </c>
      <c r="J102" s="215">
        <v>0</v>
      </c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IFERROR(__xludf.DUMMYFUNCTION("IMPORTRANGE(""https://docs.google.com/spreadsheets/d/1QqKyyYR6Q21VydFLVH3TRQUabQu_ym0Zz7PgGX0-kHA/edit?usp=sharing"",""แผน!O29"")"),10)</f>
        <v>10</v>
      </c>
      <c r="J103" s="215">
        <v>0</v>
      </c>
      <c r="K103" s="466">
        <f t="shared" ca="1" si="56"/>
        <v>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IFERROR(__xludf.DUMMYFUNCTION("IMPORTRANGE(""https://docs.google.com/spreadsheets/d/1QqKyyYR6Q21VydFLVH3TRQUabQu_ym0Zz7PgGX0-kHA/edit?usp=sharing"",""แผน!O29"")"),10)</f>
        <v>10</v>
      </c>
      <c r="J104" s="215">
        <v>0</v>
      </c>
      <c r="K104" s="466">
        <f t="shared" ca="1" si="56"/>
        <v>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IFERROR(__xludf.DUMMYFUNCTION("IMPORTRANGE(""https://docs.google.com/spreadsheets/d/1QqKyyYR6Q21VydFLVH3TRQUabQu_ym0Zz7PgGX0-kHA/edit?usp=sharing"",""แผน!P29"")"),1)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IFERROR(__xludf.DUMMYFUNCTION("IMPORTRANGE(""https://docs.google.com/spreadsheets/d/1QqKyyYR6Q21VydFLVH3TRQUabQu_ym0Zz7PgGX0-kHA/edit?usp=sharing"",""แผน!P29"")"),1)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IFERROR(__xludf.DUMMYFUNCTION("IMPORTRANGE(""https://docs.google.com/spreadsheets/d/1QqKyyYR6Q21VydFLVH3TRQUabQu_ym0Zz7PgGX0-kHA/edit?usp=sharing"",""แผน!Q29"")"),1)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IFERROR(__xludf.DUMMYFUNCTION("IMPORTRANGE(""https://docs.google.com/spreadsheets/d/1QqKyyYR6Q21VydFLVH3TRQUabQu_ym0Zz7PgGX0-kHA/edit?usp=sharing"",""แผน!Q29"")"),1)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IFERROR(__xludf.DUMMYFUNCTION("IMPORTRANGE(""https://docs.google.com/spreadsheets/d/1QqKyyYR6Q21VydFLVH3TRQUabQu_ym0Zz7PgGX0-kHA/edit?usp=sharing"",""แผน!R29"")"),10)</f>
        <v>10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IFERROR(__xludf.DUMMYFUNCTION("IMPORTRANGE(""https://docs.google.com/spreadsheets/d/1QqKyyYR6Q21VydFLVH3TRQUabQu_ym0Zz7PgGX0-kHA/edit?usp=sharing"",""แผน!R29"")"),10)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IFERROR(__xludf.DUMMYFUNCTION("IMPORTRANGE(""https://docs.google.com/spreadsheets/d/1QqKyyYR6Q21VydFLVH3TRQUabQu_ym0Zz7PgGX0-kHA/edit?usp=sharing"",""แผน!R29"")"),10)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IFERROR(__xludf.DUMMYFUNCTION("IMPORTRANGE(""https://docs.google.com/spreadsheets/d/1QqKyyYR6Q21VydFLVH3TRQUabQu_ym0Zz7PgGX0-kHA/edit?usp=sharing"",""แผน!S29"")"),1)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IFERROR(__xludf.DUMMYFUNCTION("IMPORTRANGE(""https://docs.google.com/spreadsheets/d/1QqKyyYR6Q21VydFLVH3TRQUabQu_ym0Zz7PgGX0-kHA/edit?usp=sharing"",""แผน!T29"")"),1)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IFERROR(__xludf.DUMMYFUNCTION("IMPORTRANGE(""https://docs.google.com/spreadsheets/d/1MeEWN-I1oV_STSDYn1IFDPWt_1FKiwhDph83XaGc0o0/edit?usp=sharing"",""งบพรบ!BA29"")"),0)</f>
        <v>0</v>
      </c>
      <c r="M124" s="93">
        <f ca="1">IFERROR(__xludf.DUMMYFUNCTION("IMPORTRANGE(""https://docs.google.com/spreadsheets/d/1MeEWN-I1oV_STSDYn1IFDPWt_1FKiwhDph83XaGc0o0/edit?usp=sharing"",""งบพรบ!BF29"")"),0)</f>
        <v>0</v>
      </c>
      <c r="N124" s="93">
        <f ca="1">IFERROR(__xludf.DUMMYFUNCTION("IMPORTRANGE(""https://docs.google.com/spreadsheets/d/1MeEWN-I1oV_STSDYn1IFDPWt_1FKiwhDph83XaGc0o0/edit?usp=sharing"",""งบพรบ!BH29"")"),0)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IFERROR(__xludf.DUMMYFUNCTION("IMPORTRANGE(""https://docs.google.com/spreadsheets/d/1MeEWN-I1oV_STSDYn1IFDPWt_1FKiwhDph83XaGc0o0/edit?usp=sharing"",""งบพรบ!BD29"")"),0)</f>
        <v>0</v>
      </c>
      <c r="M127" s="93">
        <f ca="1">IFERROR(__xludf.DUMMYFUNCTION("IMPORTRANGE(""https://docs.google.com/spreadsheets/d/1MeEWN-I1oV_STSDYn1IFDPWt_1FKiwhDph83XaGc0o0/edit?usp=sharing"",""งบพรบ!BG29"")"),0)</f>
        <v>0</v>
      </c>
      <c r="N127" s="93">
        <f ca="1">IFERROR(__xludf.DUMMYFUNCTION("IMPORTRANGE(""https://docs.google.com/spreadsheets/d/1MeEWN-I1oV_STSDYn1IFDPWt_1FKiwhDph83XaGc0o0/edit?usp=sharing"",""งบพรบ!BI29"")"),0)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IFERROR(__xludf.DUMMYFUNCTION("IMPORTRANGE(""https://docs.google.com/spreadsheets/d/1MeEWN-I1oV_STSDYn1IFDPWt_1FKiwhDph83XaGc0o0/edit?usp=sharing"",""งบพรบ!BK29"")"),0)</f>
        <v>0</v>
      </c>
      <c r="M137" s="93">
        <f ca="1">IFERROR(__xludf.DUMMYFUNCTION("IMPORTRANGE(""https://docs.google.com/spreadsheets/d/1MeEWN-I1oV_STSDYn1IFDPWt_1FKiwhDph83XaGc0o0/edit?usp=sharing"",""งบพรบ!BP29"")"),0)</f>
        <v>0</v>
      </c>
      <c r="N137" s="93">
        <f ca="1">IFERROR(__xludf.DUMMYFUNCTION("IMPORTRANGE(""https://docs.google.com/spreadsheets/d/1MeEWN-I1oV_STSDYn1IFDPWt_1FKiwhDph83XaGc0o0/edit?usp=sharing"",""งบพรบ!BR29"")"),0)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IFERROR(__xludf.DUMMYFUNCTION("IMPORTRANGE(""https://docs.google.com/spreadsheets/d/1MeEWN-I1oV_STSDYn1IFDPWt_1FKiwhDph83XaGc0o0/edit?usp=sharing"",""งบพรบ!BN29"")"),0)</f>
        <v>0</v>
      </c>
      <c r="M140" s="93">
        <f ca="1">IFERROR(__xludf.DUMMYFUNCTION("IMPORTRANGE(""https://docs.google.com/spreadsheets/d/1MeEWN-I1oV_STSDYn1IFDPWt_1FKiwhDph83XaGc0o0/edit?usp=sharing"",""งบพรบ!BQ29"")"),0)</f>
        <v>0</v>
      </c>
      <c r="N140" s="93">
        <f ca="1">IFERROR(__xludf.DUMMYFUNCTION("IMPORTRANGE(""https://docs.google.com/spreadsheets/d/1MeEWN-I1oV_STSDYn1IFDPWt_1FKiwhDph83XaGc0o0/edit?usp=sharing"",""งบพรบ!BS29"")"),0)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IFERROR(__xludf.DUMMYFUNCTION("IMPORTRANGE(""https://docs.google.com/spreadsheets/d/1QqKyyYR6Q21VydFLVH3TRQUabQu_ym0Zz7PgGX0-kHA/edit?usp=sharing"",""แผน!U29"")"),0)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IFERROR(__xludf.DUMMYFUNCTION("IMPORTRANGE(""https://docs.google.com/spreadsheets/d/1QqKyyYR6Q21VydFLVH3TRQUabQu_ym0Zz7PgGX0-kHA/edit?usp=sharing"",""แผน!V29"")"),0)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IFERROR(__xludf.DUMMYFUNCTION("IMPORTRANGE(""https://docs.google.com/spreadsheets/d/1QqKyyYR6Q21VydFLVH3TRQUabQu_ym0Zz7PgGX0-kHA/edit?usp=sharing"",""แผน!W29"")"),0)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IFERROR(__xludf.DUMMYFUNCTION("IMPORTRANGE(""https://docs.google.com/spreadsheets/d/1MeEWN-I1oV_STSDYn1IFDPWt_1FKiwhDph83XaGc0o0/edit?usp=sharing"",""งบพรบ!BU29"")"),0)</f>
        <v>0</v>
      </c>
      <c r="M154" s="93">
        <f ca="1">IFERROR(__xludf.DUMMYFUNCTION("IMPORTRANGE(""https://docs.google.com/spreadsheets/d/1MeEWN-I1oV_STSDYn1IFDPWt_1FKiwhDph83XaGc0o0/edit?usp=sharing"",""งบพรบ!BZ29"")"),0)</f>
        <v>0</v>
      </c>
      <c r="N154" s="93">
        <f ca="1">IFERROR(__xludf.DUMMYFUNCTION("IMPORTRANGE(""https://docs.google.com/spreadsheets/d/1MeEWN-I1oV_STSDYn1IFDPWt_1FKiwhDph83XaGc0o0/edit?usp=sharing"",""งบพรบ!CB29"")"),0)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IFERROR(__xludf.DUMMYFUNCTION("IMPORTRANGE(""https://docs.google.com/spreadsheets/d/1MeEWN-I1oV_STSDYn1IFDPWt_1FKiwhDph83XaGc0o0/edit?usp=sharing"",""งบพรบ!BX29"")"),0)</f>
        <v>0</v>
      </c>
      <c r="M157" s="93">
        <f ca="1">IFERROR(__xludf.DUMMYFUNCTION("IMPORTRANGE(""https://docs.google.com/spreadsheets/d/1MeEWN-I1oV_STSDYn1IFDPWt_1FKiwhDph83XaGc0o0/edit?usp=sharing"",""งบพรบ!CA29"")"),0)</f>
        <v>0</v>
      </c>
      <c r="N157" s="93">
        <f ca="1">IFERROR(__xludf.DUMMYFUNCTION("IMPORTRANGE(""https://docs.google.com/spreadsheets/d/1MeEWN-I1oV_STSDYn1IFDPWt_1FKiwhDph83XaGc0o0/edit?usp=sharing"",""งบพรบ!CC29"")"),0)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22055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IFERROR(__xludf.DUMMYFUNCTION("IMPORTRANGE(""https://docs.google.com/spreadsheets/d/1MeEWN-I1oV_STSDYn1IFDPWt_1FKiwhDph83XaGc0o0/edit?usp=sharing"",""งบพรบ!CE29"")"),22055)</f>
        <v>22055</v>
      </c>
      <c r="M170" s="93">
        <f ca="1">IFERROR(__xludf.DUMMYFUNCTION("IMPORTRANGE(""https://docs.google.com/spreadsheets/d/1MeEWN-I1oV_STSDYn1IFDPWt_1FKiwhDph83XaGc0o0/edit?usp=sharing"",""งบพรบ!CJ29"")"),22055)</f>
        <v>22055</v>
      </c>
      <c r="N170" s="93">
        <f ca="1">IFERROR(__xludf.DUMMYFUNCTION("IMPORTRANGE(""https://docs.google.com/spreadsheets/d/1MeEWN-I1oV_STSDYn1IFDPWt_1FKiwhDph83XaGc0o0/edit?usp=sharing"",""งบพรบ!CL29"")"),22055)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IFERROR(__xludf.DUMMYFUNCTION("IMPORTRANGE(""https://docs.google.com/spreadsheets/d/1MeEWN-I1oV_STSDYn1IFDPWt_1FKiwhDph83XaGc0o0/edit?usp=sharing"",""งบพรบ!CH29"")"),0)</f>
        <v>0</v>
      </c>
      <c r="M173" s="93">
        <f ca="1">IFERROR(__xludf.DUMMYFUNCTION("IMPORTRANGE(""https://docs.google.com/spreadsheets/d/1MeEWN-I1oV_STSDYn1IFDPWt_1FKiwhDph83XaGc0o0/edit?usp=sharing"",""งบพรบ!CK29"")"),0)</f>
        <v>0</v>
      </c>
      <c r="N173" s="93">
        <f ca="1">IFERROR(__xludf.DUMMYFUNCTION("IMPORTRANGE(""https://docs.google.com/spreadsheets/d/1MeEWN-I1oV_STSDYn1IFDPWt_1FKiwhDph83XaGc0o0/edit?usp=sharing"",""งบพรบ!CM29"")"),0)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72500</v>
      </c>
      <c r="M181" s="155">
        <f t="shared" ca="1" si="92"/>
        <v>39000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72500</v>
      </c>
      <c r="M183" s="93">
        <f t="shared" ca="1" si="95"/>
        <v>39000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72500</v>
      </c>
      <c r="M184" s="466">
        <f t="shared" ca="1" si="96"/>
        <v>39000</v>
      </c>
      <c r="N184" s="466">
        <f t="shared" ca="1" si="96"/>
        <v>0</v>
      </c>
      <c r="O184" s="466">
        <f t="shared" ca="1" si="93"/>
        <v>0</v>
      </c>
      <c r="P184" s="466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IFERROR(__xludf.DUMMYFUNCTION("IMPORTRANGE(""https://docs.google.com/spreadsheets/d/1MeEWN-I1oV_STSDYn1IFDPWt_1FKiwhDph83XaGc0o0/edit?usp=sharing"",""งบพรบ!CO29"")"),72500)</f>
        <v>72500</v>
      </c>
      <c r="M186" s="93">
        <f ca="1">IFERROR(__xludf.DUMMYFUNCTION("IMPORTRANGE(""https://docs.google.com/spreadsheets/d/1MeEWN-I1oV_STSDYn1IFDPWt_1FKiwhDph83XaGc0o0/edit?usp=sharing"",""งบพรบ!CT29"")"),39000)</f>
        <v>39000</v>
      </c>
      <c r="N186" s="93">
        <f ca="1">IFERROR(__xludf.DUMMYFUNCTION("IMPORTRANGE(""https://docs.google.com/spreadsheets/d/1MeEWN-I1oV_STSDYn1IFDPWt_1FKiwhDph83XaGc0o0/edit?usp=sharing"",""งบพรบ!CV29"")"),0)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IFERROR(__xludf.DUMMYFUNCTION("IMPORTRANGE(""https://docs.google.com/spreadsheets/d/1MeEWN-I1oV_STSDYn1IFDPWt_1FKiwhDph83XaGc0o0/edit?usp=sharing"",""งบพรบ!CR29"")"),0)</f>
        <v>0</v>
      </c>
      <c r="M189" s="93">
        <f ca="1">IFERROR(__xludf.DUMMYFUNCTION("IMPORTRANGE(""https://docs.google.com/spreadsheets/d/1MeEWN-I1oV_STSDYn1IFDPWt_1FKiwhDph83XaGc0o0/edit?usp=sharing"",""งบพรบ!CU29"")"),0)</f>
        <v>0</v>
      </c>
      <c r="N189" s="93">
        <f ca="1">IFERROR(__xludf.DUMMYFUNCTION("IMPORTRANGE(""https://docs.google.com/spreadsheets/d/1MeEWN-I1oV_STSDYn1IFDPWt_1FKiwhDph83XaGc0o0/edit?usp=sharing"",""งบพรบ!CW29"")"),0)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0</v>
      </c>
      <c r="K190" s="273">
        <f ca="1">IF(I190&gt;0,J190*100/I190,0)</f>
        <v>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IFERROR(__xludf.DUMMYFUNCTION("IMPORTRANGE(""https://docs.google.com/spreadsheets/d/1QqKyyYR6Q21VydFLVH3TRQUabQu_ym0Zz7PgGX0-kHA/edit?usp=sharing"",""แผน!Z29"")"),6000)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IFERROR(__xludf.DUMMYFUNCTION("IMPORTRANGE(""https://docs.google.com/spreadsheets/d/1QqKyyYR6Q21VydFLVH3TRQUabQu_ym0Zz7PgGX0-kHA/edit?usp=sharing"",""แผน!AC29"")"),4)</f>
        <v>4</v>
      </c>
      <c r="J193" s="215">
        <v>0</v>
      </c>
      <c r="K193" s="466">
        <f ca="1">IF(I193&gt;0,J193*100/I193,0)</f>
        <v>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IFERROR(__xludf.DUMMYFUNCTION("IMPORTRANGE(""https://docs.google.com/spreadsheets/d/1QqKyyYR6Q21VydFLVH3TRQUabQu_ym0Zz7PgGX0-kHA/edit?usp=sharing"",""แผน!AE29"")"),3000)</f>
        <v>3000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IFERROR(__xludf.DUMMYFUNCTION("IMPORTRANGE(""https://docs.google.com/spreadsheets/d/1QqKyyYR6Q21VydFLVH3TRQUabQu_ym0Zz7PgGX0-kHA/edit?usp=sharing"",""แผน!AF29"")"),24000)</f>
        <v>24000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IFERROR(__xludf.DUMMYFUNCTION("IMPORTRANGE(""https://docs.google.com/spreadsheets/d/1QqKyyYR6Q21VydFLVH3TRQUabQu_ym0Zz7PgGX0-kHA/edit?usp=sharing"",""แผน!AG29"")"),12000)</f>
        <v>12000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IFERROR(__xludf.DUMMYFUNCTION("IMPORTRANGE(""https://docs.google.com/spreadsheets/d/1QqKyyYR6Q21VydFLVH3TRQUabQu_ym0Zz7PgGX0-kHA/edit?usp=sharing"",""แผน!AH29"")"),0)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IFERROR(__xludf.DUMMYFUNCTION("IMPORTRANGE(""https://docs.google.com/spreadsheets/d/1QqKyyYR6Q21VydFLVH3TRQUabQu_ym0Zz7PgGX0-kHA/edit?usp=sharing"",""แผน!AI29"")"),3)</f>
        <v>3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IFERROR(__xludf.DUMMYFUNCTION("IMPORTRANGE(""https://docs.google.com/spreadsheets/d/1QqKyyYR6Q21VydFLVH3TRQUabQu_ym0Zz7PgGX0-kHA/edit?usp=sharing"",""แผน!AK29"")"),1000)</f>
        <v>1000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IFERROR(__xludf.DUMMYFUNCTION("IMPORTRANGE(""https://docs.google.com/spreadsheets/d/1QqKyyYR6Q21VydFLVH3TRQUabQu_ym0Zz7PgGX0-kHA/edit?usp=sharing"",""แผน!AL29"")"),5000)</f>
        <v>5000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IFERROR(__xludf.DUMMYFUNCTION("IMPORTRANGE(""https://docs.google.com/spreadsheets/d/1QqKyyYR6Q21VydFLVH3TRQUabQu_ym0Zz7PgGX0-kHA/edit?usp=sharing"",""แผน!AM29"")"),8000)</f>
        <v>8000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IFERROR(__xludf.DUMMYFUNCTION("IMPORTRANGE(""https://docs.google.com/spreadsheets/d/1QqKyyYR6Q21VydFLVH3TRQUabQu_ym0Zz7PgGX0-kHA/edit?usp=sharing"",""แผน!AN29"")"),1)</f>
        <v>1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IFERROR(__xludf.DUMMYFUNCTION("IMPORTRANGE(""https://docs.google.com/spreadsheets/d/1QqKyyYR6Q21VydFLVH3TRQUabQu_ym0Zz7PgGX0-kHA/edit?usp=sharing"",""แผน!AN29"")"),1)</f>
        <v>1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IFERROR(__xludf.DUMMYFUNCTION("IMPORTRANGE(""https://docs.google.com/spreadsheets/d/1QqKyyYR6Q21VydFLVH3TRQUabQu_ym0Zz7PgGX0-kHA/edit?usp=sharing"",""แผน!AP29"")"),5000)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IFERROR(__xludf.DUMMYFUNCTION("IMPORTRANGE(""https://docs.google.com/spreadsheets/d/1QqKyyYR6Q21VydFLVH3TRQUabQu_ym0Zz7PgGX0-kHA/edit?usp=sharing"",""แผน!AQ29"")"),8500)</f>
        <v>8500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IFERROR(__xludf.DUMMYFUNCTION("IMPORTRANGE(""https://docs.google.com/spreadsheets/d/1QqKyyYR6Q21VydFLVH3TRQUabQu_ym0Zz7PgGX0-kHA/edit?usp=sharing"",""แผน!AR29"")"),0)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IFERROR(__xludf.DUMMYFUNCTION("IMPORTRANGE(""https://docs.google.com/spreadsheets/d/1QqKyyYR6Q21VydFLVH3TRQUabQu_ym0Zz7PgGX0-kHA/edit?usp=sharing"",""แผน!AT29"")"),30000)</f>
        <v>30000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IFERROR(__xludf.DUMMYFUNCTION("IMPORTRANGE(""https://docs.google.com/spreadsheets/d/1QqKyyYR6Q21VydFLVH3TRQUabQu_ym0Zz7PgGX0-kHA/edit?usp=sharing"",""แผน!AV29"")"),0)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IFERROR(__xludf.DUMMYFUNCTION("IMPORTRANGE(""https://docs.google.com/spreadsheets/d/1QqKyyYR6Q21VydFLVH3TRQUabQu_ym0Zz7PgGX0-kHA/edit?usp=sharing"",""แผน!AW29"")"),0)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IFERROR(__xludf.DUMMYFUNCTION("IMPORTRANGE(""https://docs.google.com/spreadsheets/d/1QqKyyYR6Q21VydFLVH3TRQUabQu_ym0Zz7PgGX0-kHA/edit?usp=sharing"",""แผน!AX29"")"),0)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IFERROR(__xludf.DUMMYFUNCTION("IMPORTRANGE(""https://docs.google.com/spreadsheets/d/1QqKyyYR6Q21VydFLVH3TRQUabQu_ym0Zz7PgGX0-kHA/edit?usp=sharing"",""แผน!AY29"")"),0)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IFERROR(__xludf.DUMMYFUNCTION("IMPORTRANGE(""https://docs.google.com/spreadsheets/d/1QqKyyYR6Q21VydFLVH3TRQUabQu_ym0Zz7PgGX0-kHA/edit?usp=sharing"",""แผน!BE29"")"),0)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IFERROR(__xludf.DUMMYFUNCTION("IMPORTRANGE(""https://docs.google.com/spreadsheets/d/1QqKyyYR6Q21VydFLVH3TRQUabQu_ym0Zz7PgGX0-kHA/edit?usp=sharing"",""แผน!AZ29"")"),0)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IFERROR(__xludf.DUMMYFUNCTION("IMPORTRANGE(""https://docs.google.com/spreadsheets/d/1QqKyyYR6Q21VydFLVH3TRQUabQu_ym0Zz7PgGX0-kHA/edit?usp=sharing"",""แผน!BA29"")"),0)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IFERROR(__xludf.DUMMYFUNCTION("IMPORTRANGE(""https://docs.google.com/spreadsheets/d/1QqKyyYR6Q21VydFLVH3TRQUabQu_ym0Zz7PgGX0-kHA/edit?usp=sharing"",""แผน!BB29"")"),0)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IFERROR(__xludf.DUMMYFUNCTION("IMPORTRANGE(""https://docs.google.com/spreadsheets/d/1QqKyyYR6Q21VydFLVH3TRQUabQu_ym0Zz7PgGX0-kHA/edit?usp=sharing"",""แผน!BC29"")"),0)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IFERROR(__xludf.DUMMYFUNCTION("IMPORTRANGE(""https://docs.google.com/spreadsheets/d/1QqKyyYR6Q21VydFLVH3TRQUabQu_ym0Zz7PgGX0-kHA/edit?usp=sharing"",""แผน!BF29"")"),0)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169900</v>
      </c>
      <c r="M261" s="155">
        <f t="shared" ca="1" si="116"/>
        <v>88900</v>
      </c>
      <c r="N261" s="155">
        <f t="shared" ca="1" si="116"/>
        <v>59628</v>
      </c>
      <c r="O261" s="155">
        <f t="shared" ref="O261:O269" ca="1" si="117">IF(L261&gt;0,N261*100/L261,0)</f>
        <v>35.095938787522073</v>
      </c>
      <c r="P261" s="155">
        <f t="shared" ref="P261:P269" ca="1" si="118">IF(M261&gt;0,N261*100/M261,0)</f>
        <v>67.073115860517433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169900</v>
      </c>
      <c r="M263" s="93">
        <f t="shared" ca="1" si="119"/>
        <v>88900</v>
      </c>
      <c r="N263" s="93">
        <f t="shared" ca="1" si="119"/>
        <v>59628</v>
      </c>
      <c r="O263" s="93">
        <f t="shared" ca="1" si="117"/>
        <v>35.095938787522073</v>
      </c>
      <c r="P263" s="93">
        <f t="shared" ca="1" si="118"/>
        <v>67.073115860517433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169900</v>
      </c>
      <c r="M264" s="466">
        <f t="shared" ca="1" si="120"/>
        <v>88900</v>
      </c>
      <c r="N264" s="466">
        <f t="shared" ca="1" si="120"/>
        <v>59628</v>
      </c>
      <c r="O264" s="466">
        <f t="shared" ca="1" si="117"/>
        <v>35.095938787522073</v>
      </c>
      <c r="P264" s="466">
        <f t="shared" ca="1" si="118"/>
        <v>67.073115860517433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IFERROR(__xludf.DUMMYFUNCTION("IMPORTRANGE(""https://docs.google.com/spreadsheets/d/1MeEWN-I1oV_STSDYn1IFDPWt_1FKiwhDph83XaGc0o0/edit?usp=sharing"",""งบพรบ!CY29"")"),169900)</f>
        <v>169900</v>
      </c>
      <c r="M266" s="93">
        <f ca="1">IFERROR(__xludf.DUMMYFUNCTION("IMPORTRANGE(""https://docs.google.com/spreadsheets/d/1MeEWN-I1oV_STSDYn1IFDPWt_1FKiwhDph83XaGc0o0/edit?usp=sharing"",""งบพรบ!DD29"")"),88900)</f>
        <v>88900</v>
      </c>
      <c r="N266" s="93">
        <f ca="1">IFERROR(__xludf.DUMMYFUNCTION("IMPORTRANGE(""https://docs.google.com/spreadsheets/d/1MeEWN-I1oV_STSDYn1IFDPWt_1FKiwhDph83XaGc0o0/edit?usp=sharing"",""งบพรบ!DF29"")"),59628)</f>
        <v>59628</v>
      </c>
      <c r="O266" s="93">
        <f t="shared" ca="1" si="117"/>
        <v>35.095938787522073</v>
      </c>
      <c r="P266" s="93">
        <f t="shared" ca="1" si="118"/>
        <v>67.073115860517433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IFERROR(__xludf.DUMMYFUNCTION("IMPORTRANGE(""https://docs.google.com/spreadsheets/d/1MeEWN-I1oV_STSDYn1IFDPWt_1FKiwhDph83XaGc0o0/edit?usp=sharing"",""งบพรบ!DB29"")"),0)</f>
        <v>0</v>
      </c>
      <c r="M269" s="93">
        <f ca="1">IFERROR(__xludf.DUMMYFUNCTION("IMPORTRANGE(""https://docs.google.com/spreadsheets/d/1MeEWN-I1oV_STSDYn1IFDPWt_1FKiwhDph83XaGc0o0/edit?usp=sharing"",""งบพรบ!DE29"")"),0)</f>
        <v>0</v>
      </c>
      <c r="N269" s="93">
        <f ca="1">IFERROR(__xludf.DUMMYFUNCTION("IMPORTRANGE(""https://docs.google.com/spreadsheets/d/1MeEWN-I1oV_STSDYn1IFDPWt_1FKiwhDph83XaGc0o0/edit?usp=sharing"",""งบพรบ!DG29"")"),0)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250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262220</v>
      </c>
      <c r="M277" s="155">
        <f t="shared" ca="1" si="125"/>
        <v>130470</v>
      </c>
      <c r="N277" s="155">
        <f t="shared" ca="1" si="125"/>
        <v>97978.7</v>
      </c>
      <c r="O277" s="155">
        <f t="shared" ref="O277:O285" ca="1" si="126">IF(L277&gt;0,N277*100/L277,0)</f>
        <v>37.365075127755318</v>
      </c>
      <c r="P277" s="155">
        <f t="shared" ref="P277:P285" ca="1" si="127">IF(M277&gt;0,N277*100/M277,0)</f>
        <v>75.096727216984746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262220</v>
      </c>
      <c r="M279" s="93">
        <f t="shared" ca="1" si="128"/>
        <v>130470</v>
      </c>
      <c r="N279" s="93">
        <f t="shared" ca="1" si="128"/>
        <v>97978.7</v>
      </c>
      <c r="O279" s="93">
        <f t="shared" ca="1" si="126"/>
        <v>37.365075127755318</v>
      </c>
      <c r="P279" s="93">
        <f t="shared" ca="1" si="127"/>
        <v>75.096727216984746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262220</v>
      </c>
      <c r="M280" s="466">
        <f t="shared" ca="1" si="129"/>
        <v>130470</v>
      </c>
      <c r="N280" s="466">
        <f t="shared" ca="1" si="129"/>
        <v>97978.7</v>
      </c>
      <c r="O280" s="466">
        <f t="shared" ca="1" si="126"/>
        <v>37.365075127755318</v>
      </c>
      <c r="P280" s="466">
        <f t="shared" ca="1" si="127"/>
        <v>75.096727216984746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IFERROR(__xludf.DUMMYFUNCTION("IMPORTRANGE(""https://docs.google.com/spreadsheets/d/1MeEWN-I1oV_STSDYn1IFDPWt_1FKiwhDph83XaGc0o0/edit?usp=sharing"",""งบพรบ!DI29"")"),262220)</f>
        <v>262220</v>
      </c>
      <c r="M282" s="93">
        <f ca="1">IFERROR(__xludf.DUMMYFUNCTION("IMPORTRANGE(""https://docs.google.com/spreadsheets/d/1MeEWN-I1oV_STSDYn1IFDPWt_1FKiwhDph83XaGc0o0/edit?usp=sharing"",""งบพรบ!DN29"")"),130470)</f>
        <v>130470</v>
      </c>
      <c r="N282" s="93">
        <f ca="1">IFERROR(__xludf.DUMMYFUNCTION("IMPORTRANGE(""https://docs.google.com/spreadsheets/d/1MeEWN-I1oV_STSDYn1IFDPWt_1FKiwhDph83XaGc0o0/edit?usp=sharing"",""งบพรบ!DP29"")"),97978.7)</f>
        <v>97978.7</v>
      </c>
      <c r="O282" s="93">
        <f t="shared" ca="1" si="126"/>
        <v>37.365075127755318</v>
      </c>
      <c r="P282" s="93">
        <f t="shared" ca="1" si="127"/>
        <v>75.096727216984746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IFERROR(__xludf.DUMMYFUNCTION("IMPORTRANGE(""https://docs.google.com/spreadsheets/d/1MeEWN-I1oV_STSDYn1IFDPWt_1FKiwhDph83XaGc0o0/edit?usp=sharing"",""งบพรบ!DL29"")"),0)</f>
        <v>0</v>
      </c>
      <c r="M285" s="93">
        <f ca="1">IFERROR(__xludf.DUMMYFUNCTION("IMPORTRANGE(""https://docs.google.com/spreadsheets/d/1MeEWN-I1oV_STSDYn1IFDPWt_1FKiwhDph83XaGc0o0/edit?usp=sharing"",""งบพรบ!DO29"")"),0)</f>
        <v>0</v>
      </c>
      <c r="N285" s="93">
        <f ca="1">IFERROR(__xludf.DUMMYFUNCTION("IMPORTRANGE(""https://docs.google.com/spreadsheets/d/1MeEWN-I1oV_STSDYn1IFDPWt_1FKiwhDph83XaGc0o0/edit?usp=sharing"",""งบพรบ!DQ29"")"),0)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IFERROR(__xludf.DUMMYFUNCTION("IMPORTRANGE(""https://docs.google.com/spreadsheets/d/1QqKyyYR6Q21VydFLVH3TRQUabQu_ym0Zz7PgGX0-kHA/edit?usp=sharing"",""แผน!EC29"")"),250)</f>
        <v>250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IFERROR(__xludf.DUMMYFUNCTION("IMPORTRANGE(""https://docs.google.com/spreadsheets/d/1QqKyyYR6Q21VydFLVH3TRQUabQu_ym0Zz7PgGX0-kHA/edit?usp=sharing"",""แผน!EB29"")"),25)</f>
        <v>25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IFERROR(__xludf.DUMMYFUNCTION("IMPORTRANGE(""https://docs.google.com/spreadsheets/d/1QqKyyYR6Q21VydFLVH3TRQUabQu_ym0Zz7PgGX0-kHA/edit?usp=sharing"",""แผน!EB29"")"),25)</f>
        <v>25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IFERROR(__xludf.DUMMYFUNCTION("IMPORTRANGE(""https://docs.google.com/spreadsheets/d/1QqKyyYR6Q21VydFLVH3TRQUabQu_ym0Zz7PgGX0-kHA/edit?usp=sharing"",""แผน!EB29"")"),25)</f>
        <v>25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IFERROR(__xludf.DUMMYFUNCTION("IMPORTRANGE(""https://docs.google.com/spreadsheets/d/1QqKyyYR6Q21VydFLVH3TRQUabQu_ym0Zz7PgGX0-kHA/edit?usp=sharing"",""แผน!EB29"")"),25)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IFERROR(__xludf.DUMMYFUNCTION("IMPORTRANGE(""https://docs.google.com/spreadsheets/d/1QqKyyYR6Q21VydFLVH3TRQUabQu_ym0Zz7PgGX0-kHA/edit?usp=sharing"",""แผน!EB29"")"),25)</f>
        <v>25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7603.55</v>
      </c>
      <c r="O298" s="155">
        <f t="shared" ref="O298:O306" ca="1" si="136">IF(L298&gt;0,N298*100/L298,0)</f>
        <v>9.2276092233009717</v>
      </c>
      <c r="P298" s="155">
        <f t="shared" ref="P298:P306" ca="1" si="137">IF(M298&gt;0,N298*100/M298,0)</f>
        <v>15.479539902280131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7603.55</v>
      </c>
      <c r="O300" s="93">
        <f t="shared" ca="1" si="136"/>
        <v>9.2276092233009717</v>
      </c>
      <c r="P300" s="93">
        <f t="shared" ca="1" si="137"/>
        <v>15.479539902280131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49120</v>
      </c>
      <c r="N301" s="466">
        <f t="shared" ca="1" si="139"/>
        <v>7603.55</v>
      </c>
      <c r="O301" s="466">
        <f t="shared" ca="1" si="136"/>
        <v>9.2276092233009717</v>
      </c>
      <c r="P301" s="466">
        <f t="shared" ca="1" si="137"/>
        <v>15.479539902280131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IFERROR(__xludf.DUMMYFUNCTION("IMPORTRANGE(""https://docs.google.com/spreadsheets/d/1MeEWN-I1oV_STSDYn1IFDPWt_1FKiwhDph83XaGc0o0/edit?usp=sharing"",""งบพรบ!DS29"")"),82400)</f>
        <v>82400</v>
      </c>
      <c r="M303" s="93">
        <f ca="1">IFERROR(__xludf.DUMMYFUNCTION("IMPORTRANGE(""https://docs.google.com/spreadsheets/d/1MeEWN-I1oV_STSDYn1IFDPWt_1FKiwhDph83XaGc0o0/edit?usp=sharing"",""งบพรบ!DX29"")"),49120)</f>
        <v>49120</v>
      </c>
      <c r="N303" s="93">
        <f ca="1">IFERROR(__xludf.DUMMYFUNCTION("IMPORTRANGE(""https://docs.google.com/spreadsheets/d/1MeEWN-I1oV_STSDYn1IFDPWt_1FKiwhDph83XaGc0o0/edit?usp=sharing"",""งบพรบ!DZ29"")"),7603.55)</f>
        <v>7603.55</v>
      </c>
      <c r="O303" s="93">
        <f t="shared" ca="1" si="136"/>
        <v>9.2276092233009717</v>
      </c>
      <c r="P303" s="93">
        <f t="shared" ca="1" si="137"/>
        <v>15.479539902280131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IFERROR(__xludf.DUMMYFUNCTION("IMPORTRANGE(""https://docs.google.com/spreadsheets/d/1MeEWN-I1oV_STSDYn1IFDPWt_1FKiwhDph83XaGc0o0/edit?usp=sharing"",""งบพรบ!DV29"")"),0)</f>
        <v>0</v>
      </c>
      <c r="M306" s="93">
        <f ca="1">IFERROR(__xludf.DUMMYFUNCTION("IMPORTRANGE(""https://docs.google.com/spreadsheets/d/1MeEWN-I1oV_STSDYn1IFDPWt_1FKiwhDph83XaGc0o0/edit?usp=sharing"",""งบพรบ!DY29"")"),0)</f>
        <v>0</v>
      </c>
      <c r="N306" s="93">
        <f ca="1">IFERROR(__xludf.DUMMYFUNCTION("IMPORTRANGE(""https://docs.google.com/spreadsheets/d/1MeEWN-I1oV_STSDYn1IFDPWt_1FKiwhDph83XaGc0o0/edit?usp=sharing"",""งบพรบ!EA29"")"),0)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IFERROR(__xludf.DUMMYFUNCTION("IMPORTRANGE(""https://docs.google.com/spreadsheets/d/1QqKyyYR6Q21VydFLVH3TRQUabQu_ym0Zz7PgGX0-kHA/edit?usp=sharing"",""แผน!ED29"")"),20)</f>
        <v>20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IFERROR(__xludf.DUMMYFUNCTION("IMPORTRANGE(""https://docs.google.com/spreadsheets/d/1QqKyyYR6Q21VydFLVH3TRQUabQu_ym0Zz7PgGX0-kHA/edit?usp=sharing"",""แผน!ED29"")"),20)</f>
        <v>20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IFERROR(__xludf.DUMMYFUNCTION("IMPORTRANGE(""https://docs.google.com/spreadsheets/d/1QqKyyYR6Q21VydFLVH3TRQUabQu_ym0Zz7PgGX0-kHA/edit?usp=sharing"",""แผน!ED29"")"),20)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IFERROR(__xludf.DUMMYFUNCTION("IMPORTRANGE(""https://docs.google.com/spreadsheets/d/1QqKyyYR6Q21VydFLVH3TRQUabQu_ym0Zz7PgGX0-kHA/edit?usp=sharing"",""แผน!EE29"")"),4)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IFERROR(__xludf.DUMMYFUNCTION("IMPORTRANGE(""https://docs.google.com/spreadsheets/d/1MeEWN-I1oV_STSDYn1IFDPWt_1FKiwhDph83XaGc0o0/edit?usp=sharing"",""งบพรบ!EC29"")"),0)</f>
        <v>0</v>
      </c>
      <c r="M320" s="93">
        <f ca="1">IFERROR(__xludf.DUMMYFUNCTION("IMPORTRANGE(""https://docs.google.com/spreadsheets/d/1MeEWN-I1oV_STSDYn1IFDPWt_1FKiwhDph83XaGc0o0/edit?usp=sharing"",""งบพรบ!EH29"")"),0)</f>
        <v>0</v>
      </c>
      <c r="N320" s="93">
        <f ca="1">IFERROR(__xludf.DUMMYFUNCTION("IMPORTRANGE(""https://docs.google.com/spreadsheets/d/1MeEWN-I1oV_STSDYn1IFDPWt_1FKiwhDph83XaGc0o0/edit?usp=sharing"",""งบพรบ!EJ29"")"),0)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IFERROR(__xludf.DUMMYFUNCTION("IMPORTRANGE(""https://docs.google.com/spreadsheets/d/1MeEWN-I1oV_STSDYn1IFDPWt_1FKiwhDph83XaGc0o0/edit?usp=sharing"",""งบพรบ!EF29"")"),0)</f>
        <v>0</v>
      </c>
      <c r="M323" s="93">
        <f ca="1">IFERROR(__xludf.DUMMYFUNCTION("IMPORTRANGE(""https://docs.google.com/spreadsheets/d/1MeEWN-I1oV_STSDYn1IFDPWt_1FKiwhDph83XaGc0o0/edit?usp=sharing"",""งบพรบ!EI29"")"),0)</f>
        <v>0</v>
      </c>
      <c r="N323" s="93">
        <f ca="1">IFERROR(__xludf.DUMMYFUNCTION("IMPORTRANGE(""https://docs.google.com/spreadsheets/d/1MeEWN-I1oV_STSDYn1IFDPWt_1FKiwhDph83XaGc0o0/edit?usp=sharing"",""งบพรบ!EK29"")"),0)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IFERROR(__xludf.DUMMYFUNCTION("IMPORTRANGE(""https://docs.google.com/spreadsheets/d/1QqKyyYR6Q21VydFLVH3TRQUabQu_ym0Zz7PgGX0-kHA/edit?usp=sharing"",""แผน!EG29"")"),1800)</f>
        <v>1800</v>
      </c>
      <c r="J327" s="413">
        <f ca="1">J338+J341+J342+J343</f>
        <v>1524</v>
      </c>
      <c r="K327" s="414">
        <f ca="1">IF(I327&gt;0,J327*100/I327,0)</f>
        <v>84.666666666666671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175000</v>
      </c>
      <c r="M328" s="155">
        <f t="shared" ca="1" si="149"/>
        <v>87500</v>
      </c>
      <c r="N328" s="155">
        <f t="shared" ca="1" si="149"/>
        <v>56426</v>
      </c>
      <c r="O328" s="155">
        <f t="shared" ref="O328:O336" ca="1" si="150">IF(L328&gt;0,N328*100/L328,0)</f>
        <v>32.243428571428574</v>
      </c>
      <c r="P328" s="155">
        <f t="shared" ref="P328:P336" ca="1" si="151">IF(M328&gt;0,N328*100/M328,0)</f>
        <v>64.486857142857147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175000</v>
      </c>
      <c r="M330" s="93">
        <f t="shared" ca="1" si="152"/>
        <v>87500</v>
      </c>
      <c r="N330" s="93">
        <f t="shared" ca="1" si="152"/>
        <v>56426</v>
      </c>
      <c r="O330" s="93">
        <f t="shared" ca="1" si="150"/>
        <v>32.243428571428574</v>
      </c>
      <c r="P330" s="93">
        <f t="shared" ca="1" si="151"/>
        <v>64.486857142857147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175000</v>
      </c>
      <c r="M331" s="466">
        <f t="shared" ca="1" si="153"/>
        <v>87500</v>
      </c>
      <c r="N331" s="466">
        <f t="shared" ca="1" si="153"/>
        <v>56426</v>
      </c>
      <c r="O331" s="466">
        <f t="shared" ca="1" si="150"/>
        <v>32.243428571428574</v>
      </c>
      <c r="P331" s="466">
        <f t="shared" ca="1" si="151"/>
        <v>64.486857142857147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IFERROR(__xludf.DUMMYFUNCTION("IMPORTRANGE(""https://docs.google.com/spreadsheets/d/1MeEWN-I1oV_STSDYn1IFDPWt_1FKiwhDph83XaGc0o0/edit?usp=sharing"",""งบพรบ!EM29"")"),175000)</f>
        <v>175000</v>
      </c>
      <c r="M333" s="93">
        <f ca="1">IFERROR(__xludf.DUMMYFUNCTION("IMPORTRANGE(""https://docs.google.com/spreadsheets/d/1MeEWN-I1oV_STSDYn1IFDPWt_1FKiwhDph83XaGc0o0/edit?usp=sharing"",""งบพรบ!ER29"")"),87500)</f>
        <v>87500</v>
      </c>
      <c r="N333" s="93">
        <f ca="1">IFERROR(__xludf.DUMMYFUNCTION("IMPORTRANGE(""https://docs.google.com/spreadsheets/d/1MeEWN-I1oV_STSDYn1IFDPWt_1FKiwhDph83XaGc0o0/edit?usp=sharing"",""งบพรบ!ET29"")"),56426)</f>
        <v>56426</v>
      </c>
      <c r="O333" s="93">
        <f t="shared" ca="1" si="150"/>
        <v>32.243428571428574</v>
      </c>
      <c r="P333" s="93">
        <f t="shared" ca="1" si="151"/>
        <v>64.486857142857147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IFERROR(__xludf.DUMMYFUNCTION("IMPORTRANGE(""https://docs.google.com/spreadsheets/d/1MeEWN-I1oV_STSDYn1IFDPWt_1FKiwhDph83XaGc0o0/edit?usp=sharing"",""งบพรบ!EP29"")"),0)</f>
        <v>0</v>
      </c>
      <c r="M336" s="93">
        <f ca="1">IFERROR(__xludf.DUMMYFUNCTION("IMPORTRANGE(""https://docs.google.com/spreadsheets/d/1MeEWN-I1oV_STSDYn1IFDPWt_1FKiwhDph83XaGc0o0/edit?usp=sharing"",""งบพรบ!ES29"")"),0)</f>
        <v>0</v>
      </c>
      <c r="N336" s="93">
        <f ca="1">IFERROR(__xludf.DUMMYFUNCTION("IMPORTRANGE(""https://docs.google.com/spreadsheets/d/1MeEWN-I1oV_STSDYn1IFDPWt_1FKiwhDph83XaGc0o0/edit?usp=sharing"",""งบพรบ!EU29"")"),0)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IFERROR(__xludf.DUMMYFUNCTION("IMPORTRANGE(""https://docs.google.com/spreadsheets/d/1QqKyyYR6Q21VydFLVH3TRQUabQu_ym0Zz7PgGX0-kHA/edit?usp=sharing"",""แผน!EG29"")"),1800)</f>
        <v>1800</v>
      </c>
      <c r="J338" s="270">
        <f ca="1">IFERROR(__xludf.DUMMYFUNCTION("IMPORTRANGE(""https://docs.google.com/spreadsheets/d/1kVcqe37tkHyjCSG3S0O1AXqVkqjo8mSIZil3BcpIysc/edit?usp=sharing"",""ศูนย์!D29"")"),1055)</f>
        <v>1055</v>
      </c>
      <c r="K338" s="466">
        <f ca="1">IF(I338&gt;0,J338*100/I338,0)</f>
        <v>58.611111111111114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IFERROR(__xludf.DUMMYFUNCTION("IMPORTRANGE(""https://docs.google.com/spreadsheets/d/1QqKyyYR6Q21VydFLVH3TRQUabQu_ym0Zz7PgGX0-kHA/edit?usp=sharing"",""แผน!EH29"")"),6)</f>
        <v>6</v>
      </c>
      <c r="J340" s="270">
        <f ca="1">IFERROR(__xludf.DUMMYFUNCTION("IMPORTRANGE(""https://docs.google.com/spreadsheets/d/1kVcqe37tkHyjCSG3S0O1AXqVkqjo8mSIZil3BcpIysc/edit?usp=sharing"",""ศูนย์!E29"")"),2)</f>
        <v>2</v>
      </c>
      <c r="K340" s="466">
        <f ca="1">IF(I340&gt;0,J340*100/I340,0)</f>
        <v>33.333333333333336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IFERROR(__xludf.DUMMYFUNCTION("IMPORTRANGE(""https://docs.google.com/spreadsheets/d/1kVcqe37tkHyjCSG3S0O1AXqVkqjo8mSIZil3BcpIysc/edit?usp=sharing"",""ศูนย์!F29"")"),143)</f>
        <v>143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IFERROR(__xludf.DUMMYFUNCTION("IMPORTRANGE(""https://docs.google.com/spreadsheets/d/1kVcqe37tkHyjCSG3S0O1AXqVkqjo8mSIZil3BcpIysc/edit?usp=sharing"",""ศูนย์!G29"")"),0)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IFERROR(__xludf.DUMMYFUNCTION("IMPORTRANGE(""https://docs.google.com/spreadsheets/d/1kVcqe37tkHyjCSG3S0O1AXqVkqjo8mSIZil3BcpIysc/edit?usp=sharing"",""ศูนย์!H29"")"),326)</f>
        <v>326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959100</v>
      </c>
      <c r="M345" s="155">
        <f t="shared" ca="1" si="155"/>
        <v>513450</v>
      </c>
      <c r="N345" s="155">
        <f t="shared" ca="1" si="155"/>
        <v>331995.5</v>
      </c>
      <c r="O345" s="155">
        <f t="shared" ref="O345:O353" ca="1" si="156">IF(L345&gt;0,N345*100/L345,0)</f>
        <v>34.615316442498177</v>
      </c>
      <c r="P345" s="155">
        <f t="shared" ref="P345:P353" ca="1" si="157">IF(M345&gt;0,N345*100/M345,0)</f>
        <v>64.659752653617687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959100</v>
      </c>
      <c r="M347" s="93">
        <f t="shared" ca="1" si="158"/>
        <v>513450</v>
      </c>
      <c r="N347" s="93">
        <f t="shared" ca="1" si="158"/>
        <v>331995.5</v>
      </c>
      <c r="O347" s="93">
        <f t="shared" ca="1" si="156"/>
        <v>34.615316442498177</v>
      </c>
      <c r="P347" s="93">
        <f t="shared" ca="1" si="157"/>
        <v>64.659752653617687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890300</v>
      </c>
      <c r="M348" s="466">
        <f t="shared" ca="1" si="159"/>
        <v>445150</v>
      </c>
      <c r="N348" s="466">
        <f t="shared" ca="1" si="159"/>
        <v>263695.5</v>
      </c>
      <c r="O348" s="466">
        <f t="shared" ca="1" si="156"/>
        <v>29.618724025609346</v>
      </c>
      <c r="P348" s="466">
        <f t="shared" ca="1" si="157"/>
        <v>59.237448051218692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IFERROR(__xludf.DUMMYFUNCTION("IMPORTRANGE(""https://docs.google.com/spreadsheets/d/1MeEWN-I1oV_STSDYn1IFDPWt_1FKiwhDph83XaGc0o0/edit?usp=sharing"",""งบพรบ!EW29"")"),890300)</f>
        <v>890300</v>
      </c>
      <c r="M350" s="93">
        <f ca="1">IFERROR(__xludf.DUMMYFUNCTION("IMPORTRANGE(""https://docs.google.com/spreadsheets/d/1MeEWN-I1oV_STSDYn1IFDPWt_1FKiwhDph83XaGc0o0/edit?usp=sharing"",""งบพรบ!FB29"")"),445150)</f>
        <v>445150</v>
      </c>
      <c r="N350" s="93">
        <f ca="1">IFERROR(__xludf.DUMMYFUNCTION("IMPORTRANGE(""https://docs.google.com/spreadsheets/d/1MeEWN-I1oV_STSDYn1IFDPWt_1FKiwhDph83XaGc0o0/edit?usp=sharing"",""งบพรบ!FD29"")"),263695.5)</f>
        <v>263695.5</v>
      </c>
      <c r="O350" s="93">
        <f t="shared" ca="1" si="156"/>
        <v>29.618724025609346</v>
      </c>
      <c r="P350" s="93">
        <f t="shared" ca="1" si="157"/>
        <v>59.237448051218692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68300</v>
      </c>
      <c r="N351" s="466">
        <f t="shared" ca="1" si="160"/>
        <v>68300</v>
      </c>
      <c r="O351" s="466">
        <f t="shared" ca="1" si="156"/>
        <v>99.273255813953483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IFERROR(__xludf.DUMMYFUNCTION("IMPORTRANGE(""https://docs.google.com/spreadsheets/d/1MeEWN-I1oV_STSDYn1IFDPWt_1FKiwhDph83XaGc0o0/edit?usp=sharing"",""งบพรบ!EZ29"")"),68800)</f>
        <v>68800</v>
      </c>
      <c r="M353" s="93">
        <f ca="1">IFERROR(__xludf.DUMMYFUNCTION("IMPORTRANGE(""https://docs.google.com/spreadsheets/d/1MeEWN-I1oV_STSDYn1IFDPWt_1FKiwhDph83XaGc0o0/edit?usp=sharing"",""งบพรบ!FC29"")"),68300)</f>
        <v>68300</v>
      </c>
      <c r="N353" s="93">
        <f ca="1">IFERROR(__xludf.DUMMYFUNCTION("IMPORTRANGE(""https://docs.google.com/spreadsheets/d/1MeEWN-I1oV_STSDYn1IFDPWt_1FKiwhDph83XaGc0o0/edit?usp=sharing"",""งบพรบ!FE29"")"),68300)</f>
        <v>68300</v>
      </c>
      <c r="O353" s="93">
        <f t="shared" ca="1" si="156"/>
        <v>99.273255813953483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IFERROR(__xludf.DUMMYFUNCTION("IMPORTRANGE(""https://docs.google.com/spreadsheets/d/1QqKyyYR6Q21VydFLVH3TRQUabQu_ym0Zz7PgGX0-kHA/edit?usp=sharing"",""แผน!EP29"")"),170)</f>
        <v>170</v>
      </c>
      <c r="J355" s="433">
        <f ca="1">J362</f>
        <v>42</v>
      </c>
      <c r="K355" s="434">
        <f ca="1">IF(I355&gt;0,J355*100/I355,0)</f>
        <v>24.705882352941178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IFERROR(__xludf.DUMMYFUNCTION("IMPORTRANGE(""https://docs.google.com/spreadsheets/d/1XWAQStnk-4SwqDmLtmXYiTMKHgktTP8We1SCoS47DrQ/edit?usp=sharing"",""จัดที่ดิน!W29"")"),42)</f>
        <v>42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IFERROR(__xludf.DUMMYFUNCTION("IMPORTRANGE(""https://docs.google.com/spreadsheets/d/1QqKyyYR6Q21VydFLVH3TRQUabQu_ym0Zz7PgGX0-kHA/edit?usp=sharing"",""แผน!EO29"")"),1650)</f>
        <v>1650</v>
      </c>
      <c r="J359" s="270">
        <f ca="1">IFERROR(__xludf.DUMMYFUNCTION("IMPORTRANGE(""https://docs.google.com/spreadsheets/d/1XWAQStnk-4SwqDmLtmXYiTMKHgktTP8We1SCoS47DrQ/edit?usp=sharing"",""จัดที่ดิน!X29"")"),331.09)</f>
        <v>331.09</v>
      </c>
      <c r="K359" s="466">
        <f t="shared" ca="1" si="161"/>
        <v>20.066060606060606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IFERROR(__xludf.DUMMYFUNCTION("IMPORTRANGE(""https://docs.google.com/spreadsheets/d/1QqKyyYR6Q21VydFLVH3TRQUabQu_ym0Zz7PgGX0-kHA/edit?usp=sharing"",""แผน!EP29"")"),170)</f>
        <v>170</v>
      </c>
      <c r="J360" s="270">
        <f ca="1">IFERROR(__xludf.DUMMYFUNCTION("IMPORTRANGE(""https://docs.google.com/spreadsheets/d/1XWAQStnk-4SwqDmLtmXYiTMKHgktTP8We1SCoS47DrQ/edit?usp=sharing"",""จัดที่ดิน!Y29"")"),41)</f>
        <v>41</v>
      </c>
      <c r="K360" s="466">
        <f t="shared" ca="1" si="161"/>
        <v>24.117647058823529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IFERROR(__xludf.DUMMYFUNCTION("IMPORTRANGE(""https://docs.google.com/spreadsheets/d/1XWAQStnk-4SwqDmLtmXYiTMKHgktTP8We1SCoS47DrQ/edit?usp=sharing"",""จัดที่ดิน!Z29"")"),328.429999999999)</f>
        <v>328.42999999999898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IFERROR(__xludf.DUMMYFUNCTION("IMPORTRANGE(""https://docs.google.com/spreadsheets/d/1QqKyyYR6Q21VydFLVH3TRQUabQu_ym0Zz7PgGX0-kHA/edit?usp=sharing"",""แผน!EP29"")"),170)</f>
        <v>170</v>
      </c>
      <c r="J362" s="270">
        <f ca="1">IFERROR(__xludf.DUMMYFUNCTION("IMPORTRANGE(""https://docs.google.com/spreadsheets/d/1XWAQStnk-4SwqDmLtmXYiTMKHgktTP8We1SCoS47DrQ/edit?usp=sharing"",""จัดที่ดิน!AA29"")"),42)</f>
        <v>42</v>
      </c>
      <c r="K362" s="466">
        <f t="shared" ca="1" si="161"/>
        <v>24.705882352941178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IFERROR(__xludf.DUMMYFUNCTION("IMPORTRANGE(""https://docs.google.com/spreadsheets/d/1XWAQStnk-4SwqDmLtmXYiTMKHgktTP8We1SCoS47DrQ/edit?usp=sharing"",""จัดที่ดิน!AB29"")"),340.039999999999)</f>
        <v>340.039999999999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420</v>
      </c>
      <c r="J364" s="447">
        <f t="shared" ca="1" si="162"/>
        <v>268</v>
      </c>
      <c r="K364" s="448">
        <f t="shared" ca="1" si="161"/>
        <v>63.80952380952381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IFERROR(__xludf.DUMMYFUNCTION("IMPORTRANGE(""https://docs.google.com/spreadsheets/d/1QqKyyYR6Q21VydFLVH3TRQUabQu_ym0Zz7PgGX0-kHA/edit?usp=sharing"",""แผน!EJ29"")"),40)</f>
        <v>40</v>
      </c>
      <c r="J365" s="459">
        <f ca="1">J372</f>
        <v>7</v>
      </c>
      <c r="K365" s="460">
        <f t="shared" ca="1" si="161"/>
        <v>17.5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IFERROR(__xludf.DUMMYFUNCTION("IMPORTRANGE(""https://docs.google.com/spreadsheets/d/1XWAQStnk-4SwqDmLtmXYiTMKHgktTP8We1SCoS47DrQ/edit?usp=sharing"",""จัดที่ดิน!E29"")"),7)</f>
        <v>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IFERROR(__xludf.DUMMYFUNCTION("IMPORTRANGE(""https://docs.google.com/spreadsheets/d/1QqKyyYR6Q21VydFLVH3TRQUabQu_ym0Zz7PgGX0-kHA/edit?usp=sharing"",""แผน!EI29"")"),400)</f>
        <v>400</v>
      </c>
      <c r="J369" s="270">
        <f ca="1">IFERROR(__xludf.DUMMYFUNCTION("IMPORTRANGE(""https://docs.google.com/spreadsheets/d/1XWAQStnk-4SwqDmLtmXYiTMKHgktTP8We1SCoS47DrQ/edit?usp=sharing"",""จัดที่ดิน!F29"")"),28)</f>
        <v>28</v>
      </c>
      <c r="K369" s="466">
        <f t="shared" ca="1" si="163"/>
        <v>7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IFERROR(__xludf.DUMMYFUNCTION("IMPORTRANGE(""https://docs.google.com/spreadsheets/d/1QqKyyYR6Q21VydFLVH3TRQUabQu_ym0Zz7PgGX0-kHA/edit?usp=sharing"",""แผน!EJ29"")"),40)</f>
        <v>40</v>
      </c>
      <c r="J370" s="270">
        <f ca="1">IFERROR(__xludf.DUMMYFUNCTION("IMPORTRANGE(""https://docs.google.com/spreadsheets/d/1XWAQStnk-4SwqDmLtmXYiTMKHgktTP8We1SCoS47DrQ/edit?usp=sharing"",""จัดที่ดิน!G29"")"),6)</f>
        <v>6</v>
      </c>
      <c r="K370" s="466">
        <f t="shared" ca="1" si="163"/>
        <v>15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IFERROR(__xludf.DUMMYFUNCTION("IMPORTRANGE(""https://docs.google.com/spreadsheets/d/1XWAQStnk-4SwqDmLtmXYiTMKHgktTP8We1SCoS47DrQ/edit?usp=sharing"",""จัดที่ดิน!H29"")"),25.34)</f>
        <v>25.34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IFERROR(__xludf.DUMMYFUNCTION("IMPORTRANGE(""https://docs.google.com/spreadsheets/d/1QqKyyYR6Q21VydFLVH3TRQUabQu_ym0Zz7PgGX0-kHA/edit?usp=sharing"",""แผน!EJ29"")"),40)</f>
        <v>40</v>
      </c>
      <c r="J372" s="270">
        <f ca="1">IFERROR(__xludf.DUMMYFUNCTION("IMPORTRANGE(""https://docs.google.com/spreadsheets/d/1XWAQStnk-4SwqDmLtmXYiTMKHgktTP8We1SCoS47DrQ/edit?usp=sharing"",""จัดที่ดิน!I29"")"),7)</f>
        <v>7</v>
      </c>
      <c r="K372" s="466">
        <f t="shared" ca="1" si="163"/>
        <v>17.5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IFERROR(__xludf.DUMMYFUNCTION("IMPORTRANGE(""https://docs.google.com/spreadsheets/d/1XWAQStnk-4SwqDmLtmXYiTMKHgktTP8We1SCoS47DrQ/edit?usp=sharing"",""จัดที่ดิน!J29"")"),36.95)</f>
        <v>36.950000000000003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IFERROR(__xludf.DUMMYFUNCTION("IMPORTRANGE(""https://docs.google.com/spreadsheets/d/1QqKyyYR6Q21VydFLVH3TRQUabQu_ym0Zz7PgGX0-kHA/edit?usp=sharing"",""แผน!EU29"")"),380)</f>
        <v>380</v>
      </c>
      <c r="J374" s="459">
        <f ca="1">J381</f>
        <v>261</v>
      </c>
      <c r="K374" s="460">
        <f t="shared" ca="1" si="163"/>
        <v>68.684210526315795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IFERROR(__xludf.DUMMYFUNCTION("IMPORTRANGE(""https://docs.google.com/spreadsheets/d/1XWAQStnk-4SwqDmLtmXYiTMKHgktTP8We1SCoS47DrQ/edit?usp=sharing"",""จัดที่ดิน!AH29"")"),35)</f>
        <v>35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IFERROR(__xludf.DUMMYFUNCTION("IMPORTRANGE(""https://docs.google.com/spreadsheets/d/1QqKyyYR6Q21VydFLVH3TRQUabQu_ym0Zz7PgGX0-kHA/edit?usp=sharing"",""แผน!ET29"")"),1250)</f>
        <v>1250</v>
      </c>
      <c r="J378" s="270">
        <f ca="1">IFERROR(__xludf.DUMMYFUNCTION("IMPORTRANGE(""https://docs.google.com/spreadsheets/d/1XWAQStnk-4SwqDmLtmXYiTMKHgktTP8We1SCoS47DrQ/edit?usp=sharing"",""จัดที่ดิน!AI29"")"),303.09)</f>
        <v>303.08999999999997</v>
      </c>
      <c r="K378" s="466">
        <f t="shared" ca="1" si="164"/>
        <v>24.247199999999996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IFERROR(__xludf.DUMMYFUNCTION("IMPORTRANGE(""https://docs.google.com/spreadsheets/d/1QqKyyYR6Q21VydFLVH3TRQUabQu_ym0Zz7PgGX0-kHA/edit?usp=sharing"",""แผน!EU29"")"),380)</f>
        <v>380</v>
      </c>
      <c r="J379" s="270">
        <f ca="1">IFERROR(__xludf.DUMMYFUNCTION("IMPORTRANGE(""https://docs.google.com/spreadsheets/d/1XWAQStnk-4SwqDmLtmXYiTMKHgktTP8We1SCoS47DrQ/edit?usp=sharing"",""จัดที่ดิน!AJ29"")"),265)</f>
        <v>265</v>
      </c>
      <c r="K379" s="466">
        <f t="shared" ca="1" si="164"/>
        <v>69.736842105263165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IFERROR(__xludf.DUMMYFUNCTION("IMPORTRANGE(""https://docs.google.com/spreadsheets/d/1XWAQStnk-4SwqDmLtmXYiTMKHgktTP8We1SCoS47DrQ/edit?usp=sharing"",""จัดที่ดิน!AK29"")"),3124.95)</f>
        <v>3124.95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IFERROR(__xludf.DUMMYFUNCTION("IMPORTRANGE(""https://docs.google.com/spreadsheets/d/1QqKyyYR6Q21VydFLVH3TRQUabQu_ym0Zz7PgGX0-kHA/edit?usp=sharing"",""แผน!EU29"")"),380)</f>
        <v>380</v>
      </c>
      <c r="J381" s="270">
        <f ca="1">IFERROR(__xludf.DUMMYFUNCTION("IMPORTRANGE(""https://docs.google.com/spreadsheets/d/1XWAQStnk-4SwqDmLtmXYiTMKHgktTP8We1SCoS47DrQ/edit?usp=sharing"",""จัดที่ดิน!AL29"")"),261)</f>
        <v>261</v>
      </c>
      <c r="K381" s="466">
        <f t="shared" ca="1" si="164"/>
        <v>68.684210526315795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IFERROR(__xludf.DUMMYFUNCTION("IMPORTRANGE(""https://docs.google.com/spreadsheets/d/1XWAQStnk-4SwqDmLtmXYiTMKHgktTP8We1SCoS47DrQ/edit?usp=sharing"",""จัดที่ดิน!AM29"")"),3106.22)</f>
        <v>3106.22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IFERROR(__xludf.DUMMYFUNCTION("IMPORTRANGE(""https://docs.google.com/spreadsheets/d/1QqKyyYR6Q21VydFLVH3TRQUabQu_ym0Zz7PgGX0-kHA/edit?usp=sharing"",""แผน!EW29"")"),10)</f>
        <v>10</v>
      </c>
      <c r="J385" s="469">
        <f ca="1">IFERROR(__xludf.DUMMYFUNCTION("IMPORTRANGE(""https://docs.google.com/spreadsheets/d/1XWAQStnk-4SwqDmLtmXYiTMKHgktTP8We1SCoS47DrQ/edit?usp=sharing"",""จัดที่ดิน!AP29"")"),0)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IFERROR(__xludf.DUMMYFUNCTION("IMPORTRANGE(""https://docs.google.com/spreadsheets/d/1MeEWN-I1oV_STSDYn1IFDPWt_1FKiwhDph83XaGc0o0/edit?usp=sharing"",""งบพรบ!FG29"")"),0)</f>
        <v>0</v>
      </c>
      <c r="M394" s="93">
        <f ca="1">IFERROR(__xludf.DUMMYFUNCTION("IMPORTRANGE(""https://docs.google.com/spreadsheets/d/1MeEWN-I1oV_STSDYn1IFDPWt_1FKiwhDph83XaGc0o0/edit?usp=sharing"",""งบพรบ!FL29"")"),0)</f>
        <v>0</v>
      </c>
      <c r="N394" s="93">
        <f ca="1">IFERROR(__xludf.DUMMYFUNCTION("IMPORTRANGE(""https://docs.google.com/spreadsheets/d/1MeEWN-I1oV_STSDYn1IFDPWt_1FKiwhDph83XaGc0o0/edit?usp=sharing"",""งบพรบ!FN29"")"),0)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IFERROR(__xludf.DUMMYFUNCTION("IMPORTRANGE(""https://docs.google.com/spreadsheets/d/1MeEWN-I1oV_STSDYn1IFDPWt_1FKiwhDph83XaGc0o0/edit?usp=sharing"",""งบพรบ!FJ29"")"),0)</f>
        <v>0</v>
      </c>
      <c r="M397" s="93">
        <f ca="1">IFERROR(__xludf.DUMMYFUNCTION("IMPORTRANGE(""https://docs.google.com/spreadsheets/d/1MeEWN-I1oV_STSDYn1IFDPWt_1FKiwhDph83XaGc0o0/edit?usp=sharing"",""งบพรบ!FM29"")"),0)</f>
        <v>0</v>
      </c>
      <c r="N397" s="93">
        <f ca="1">IFERROR(__xludf.DUMMYFUNCTION("IMPORTRANGE(""https://docs.google.com/spreadsheets/d/1MeEWN-I1oV_STSDYn1IFDPWt_1FKiwhDph83XaGc0o0/edit?usp=sharing"",""งบพรบ!FO29"")"),0)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IFERROR(__xludf.DUMMYFUNCTION("IMPORTRANGE(""https://docs.google.com/spreadsheets/d/1MeEWN-I1oV_STSDYn1IFDPWt_1FKiwhDph83XaGc0o0/edit?usp=sharing"",""งบพรบ!FQ29"")"),0)</f>
        <v>0</v>
      </c>
      <c r="M407" s="93">
        <f ca="1">IFERROR(__xludf.DUMMYFUNCTION("IMPORTRANGE(""https://docs.google.com/spreadsheets/d/1MeEWN-I1oV_STSDYn1IFDPWt_1FKiwhDph83XaGc0o0/edit?usp=sharing"",""งบพรบ!FV29"")"),0)</f>
        <v>0</v>
      </c>
      <c r="N407" s="93">
        <f ca="1">IFERROR(__xludf.DUMMYFUNCTION("IMPORTRANGE(""https://docs.google.com/spreadsheets/d/1MeEWN-I1oV_STSDYn1IFDPWt_1FKiwhDph83XaGc0o0/edit?usp=sharing"",""งบพรบ!FX29"")"),0)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IFERROR(__xludf.DUMMYFUNCTION("IMPORTRANGE(""https://docs.google.com/spreadsheets/d/1MeEWN-I1oV_STSDYn1IFDPWt_1FKiwhDph83XaGc0o0/edit?usp=sharing"",""งบพรบ!FT29"")"),0)</f>
        <v>0</v>
      </c>
      <c r="M410" s="93">
        <f ca="1">IFERROR(__xludf.DUMMYFUNCTION("IMPORTRANGE(""https://docs.google.com/spreadsheets/d/1MeEWN-I1oV_STSDYn1IFDPWt_1FKiwhDph83XaGc0o0/edit?usp=sharing"",""งบพรบ!FW29"")"),0)</f>
        <v>0</v>
      </c>
      <c r="N410" s="93">
        <f ca="1">IFERROR(__xludf.DUMMYFUNCTION("IMPORTRANGE(""https://docs.google.com/spreadsheets/d/1MeEWN-I1oV_STSDYn1IFDPWt_1FKiwhDph83XaGc0o0/edit?usp=sharing"",""งบพรบ!FY29"")"),0)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1575232</v>
      </c>
      <c r="M414" s="517">
        <f t="shared" si="181"/>
        <v>0</v>
      </c>
      <c r="N414" s="517">
        <f t="shared" si="181"/>
        <v>309519.5</v>
      </c>
      <c r="O414" s="517">
        <f ca="1">IF(L414&gt;0,N414*100/L414,0)</f>
        <v>19.649137396904074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98660</v>
      </c>
      <c r="M419" s="155">
        <f t="shared" si="184"/>
        <v>0</v>
      </c>
      <c r="N419" s="155">
        <f t="shared" si="184"/>
        <v>57002.5</v>
      </c>
      <c r="O419" s="155">
        <f t="shared" ref="O419:O424" ca="1" si="185">IF(L419&gt;0,N419*100/L419,0)</f>
        <v>57.776707885667953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98660</v>
      </c>
      <c r="M421" s="93">
        <f t="shared" si="187"/>
        <v>0</v>
      </c>
      <c r="N421" s="93">
        <f t="shared" si="187"/>
        <v>57002.5</v>
      </c>
      <c r="O421" s="93">
        <f t="shared" ca="1" si="185"/>
        <v>57.776707885667953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98660</v>
      </c>
      <c r="M422" s="466">
        <f t="shared" si="188"/>
        <v>0</v>
      </c>
      <c r="N422" s="466">
        <f t="shared" si="188"/>
        <v>57002.5</v>
      </c>
      <c r="O422" s="466">
        <f t="shared" ca="1" si="185"/>
        <v>57.776707885667953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IFERROR(__xludf.DUMMYFUNCTION("IMPORTRANGE(""https://docs.google.com/spreadsheets/d/1QqKyyYR6Q21VydFLVH3TRQUabQu_ym0Zz7PgGX0-kHA/edit?usp=sharing"",""แผน!EY29"")"),98660)</f>
        <v>98660</v>
      </c>
      <c r="M424" s="93">
        <v>0</v>
      </c>
      <c r="N424" s="93">
        <f>N425+N426+N427+N428</f>
        <v>57002.5</v>
      </c>
      <c r="O424" s="93">
        <f t="shared" ca="1" si="185"/>
        <v>57.776707885667953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22570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/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/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34432.5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1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IFERROR(__xludf.DUMMYFUNCTION("IMPORTRANGE(""https://docs.google.com/spreadsheets/d/1QqKyyYR6Q21VydFLVH3TRQUabQu_ym0Zz7PgGX0-kHA/edit?usp=sharing"",""แผน!FC29"")"),20)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IFERROR(__xludf.DUMMYFUNCTION("IMPORTRANGE(""https://docs.google.com/spreadsheets/d/1QqKyyYR6Q21VydFLVH3TRQUabQu_ym0Zz7PgGX0-kHA/edit?usp=sharing"",""แผน!FD29"")"),0)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IFERROR(__xludf.DUMMYFUNCTION("IMPORTRANGE(""https://docs.google.com/spreadsheets/d/1QqKyyYR6Q21VydFLVH3TRQUabQu_ym0Zz7PgGX0-kHA/edit?usp=sharing"",""แผน!FF29"")"),20)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IFERROR(__xludf.DUMMYFUNCTION("IMPORTRANGE(""https://docs.google.com/spreadsheets/d/1QqKyyYR6Q21VydFLVH3TRQUabQu_ym0Zz7PgGX0-kHA/edit?usp=sharing"",""แผน!FG29"")"),1)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30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50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137480</v>
      </c>
      <c r="M444" s="195">
        <f t="shared" si="197"/>
        <v>0</v>
      </c>
      <c r="N444" s="195">
        <f t="shared" si="197"/>
        <v>2449.5</v>
      </c>
      <c r="O444" s="195">
        <f t="shared" ref="O444:O449" ca="1" si="198">IF(L444&gt;0,N444*100/L444,0)</f>
        <v>1.7817137038114634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137480</v>
      </c>
      <c r="M446" s="93">
        <f t="shared" si="200"/>
        <v>0</v>
      </c>
      <c r="N446" s="93">
        <f t="shared" si="200"/>
        <v>2449.5</v>
      </c>
      <c r="O446" s="93">
        <f t="shared" ca="1" si="198"/>
        <v>1.7817137038114634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137480</v>
      </c>
      <c r="M447" s="466">
        <f t="shared" si="201"/>
        <v>0</v>
      </c>
      <c r="N447" s="466">
        <f t="shared" si="201"/>
        <v>2449.5</v>
      </c>
      <c r="O447" s="466">
        <f t="shared" ca="1" si="198"/>
        <v>1.7817137038114634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IFERROR(__xludf.DUMMYFUNCTION("IMPORTRANGE(""https://docs.google.com/spreadsheets/d/1QqKyyYR6Q21VydFLVH3TRQUabQu_ym0Zz7PgGX0-kHA/edit?usp=sharing"",""แผน!FJ29"")"),137480)</f>
        <v>137480</v>
      </c>
      <c r="M449" s="93">
        <v>0</v>
      </c>
      <c r="N449" s="93">
        <f>N450+N451+N452+N453</f>
        <v>2449.5</v>
      </c>
      <c r="O449" s="93">
        <f t="shared" ca="1" si="198"/>
        <v>1.7817137038114634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/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2449.5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IFERROR(__xludf.DUMMYFUNCTION("IMPORTRANGE(""https://docs.google.com/spreadsheets/d/1QqKyyYR6Q21VydFLVH3TRQUabQu_ym0Zz7PgGX0-kHA/edit?usp=sharing"",""แผน!FN29"")"),30)</f>
        <v>30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IFERROR(__xludf.DUMMYFUNCTION("IMPORTRANGE(""https://docs.google.com/spreadsheets/d/1QqKyyYR6Q21VydFLVH3TRQUabQu_ym0Zz7PgGX0-kHA/edit?usp=sharing"",""แผน!FO29"")"),50)</f>
        <v>50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IFERROR(__xludf.DUMMYFUNCTION("IMPORTRANGE(""https://docs.google.com/spreadsheets/d/1QqKyyYR6Q21VydFLVH3TRQUabQu_ym0Zz7PgGX0-kHA/edit?usp=sharing"",""แผน!FO29"")"),50)</f>
        <v>50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IFERROR(__xludf.DUMMYFUNCTION("IMPORTRANGE(""https://docs.google.com/spreadsheets/d/1QqKyyYR6Q21VydFLVH3TRQUabQu_ym0Zz7PgGX0-kHA/edit?usp=sharing"",""แผน!FN29"")"),30)</f>
        <v>30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IFERROR(__xludf.DUMMYFUNCTION("IMPORTRANGE(""https://docs.google.com/spreadsheets/d/1QqKyyYR6Q21VydFLVH3TRQUabQu_ym0Zz7PgGX0-kHA/edit?usp=sharing"",""แผน!FX29"")"),61)</f>
        <v>61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IFERROR(__xludf.DUMMYFUNCTION("IMPORTRANGE(""https://docs.google.com/spreadsheets/d/1QqKyyYR6Q21VydFLVH3TRQUabQu_ym0Zz7PgGX0-kHA/edit?usp=sharing"",""แผน!FW29"")"),600)</f>
        <v>600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490033</v>
      </c>
      <c r="M467" s="195">
        <f t="shared" si="206"/>
        <v>0</v>
      </c>
      <c r="N467" s="195">
        <f t="shared" si="206"/>
        <v>10418.5</v>
      </c>
      <c r="O467" s="195">
        <f t="shared" ref="O467:O472" ca="1" si="207">IF(L467&gt;0,N467*100/L467,0)</f>
        <v>2.1260813047284572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490033</v>
      </c>
      <c r="M469" s="93">
        <f t="shared" si="209"/>
        <v>0</v>
      </c>
      <c r="N469" s="93">
        <f t="shared" si="209"/>
        <v>10418.5</v>
      </c>
      <c r="O469" s="93">
        <f t="shared" ca="1" si="207"/>
        <v>2.1260813047284572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490033</v>
      </c>
      <c r="M470" s="466">
        <f t="shared" si="210"/>
        <v>0</v>
      </c>
      <c r="N470" s="466">
        <f t="shared" si="210"/>
        <v>10418.5</v>
      </c>
      <c r="O470" s="466">
        <f t="shared" ca="1" si="207"/>
        <v>2.1260813047284572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IFERROR(__xludf.DUMMYFUNCTION("IMPORTRANGE(""https://docs.google.com/spreadsheets/d/1QqKyyYR6Q21VydFLVH3TRQUabQu_ym0Zz7PgGX0-kHA/edit?usp=sharing"",""แผน!FS29"")"),490033)</f>
        <v>490033</v>
      </c>
      <c r="M472" s="93">
        <v>0</v>
      </c>
      <c r="N472" s="93">
        <f>N473+N474+N475+N476</f>
        <v>10418.5</v>
      </c>
      <c r="O472" s="93">
        <f t="shared" ca="1" si="207"/>
        <v>2.1260813047284572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/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10418.5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IFERROR(__xludf.DUMMYFUNCTION("IMPORTRANGE(""https://docs.google.com/spreadsheets/d/1QqKyyYR6Q21VydFLVH3TRQUabQu_ym0Zz7PgGX0-kHA/edit?usp=sharing"",""แผน!FY29"")"),540)</f>
        <v>540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IFERROR(__xludf.DUMMYFUNCTION("IMPORTRANGE(""https://docs.google.com/spreadsheets/d/1QqKyyYR6Q21VydFLVH3TRQUabQu_ym0Zz7PgGX0-kHA/edit?usp=sharing"",""แผน!FZ29"")"),54)</f>
        <v>54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IFERROR(__xludf.DUMMYFUNCTION("IMPORTRANGE(""https://docs.google.com/spreadsheets/d/1QqKyyYR6Q21VydFLVH3TRQUabQu_ym0Zz7PgGX0-kHA/edit?usp=sharing"",""แผน!GA29"")"),60)</f>
        <v>60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IFERROR(__xludf.DUMMYFUNCTION("IMPORTRANGE(""https://docs.google.com/spreadsheets/d/1QqKyyYR6Q21VydFLVH3TRQUabQu_ym0Zz7PgGX0-kHA/edit?usp=sharing"",""แผน!GB29"")"),6)</f>
        <v>6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IFERROR(__xludf.DUMMYFUNCTION("IMPORTRANGE(""https://docs.google.com/spreadsheets/d/1QqKyyYR6Q21VydFLVH3TRQUabQu_ym0Zz7PgGX0-kHA/edit?usp=sharing"",""แผน!GC29"")"),1)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IFERROR(__xludf.DUMMYFUNCTION("IMPORTRANGE(""https://docs.google.com/spreadsheets/d/1QqKyyYR6Q21VydFLVH3TRQUabQu_ym0Zz7PgGX0-kHA/edit?usp=sharing"",""แผน!GU29"")"),0)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60744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354759</v>
      </c>
      <c r="M544" s="155">
        <f t="shared" si="236"/>
        <v>0</v>
      </c>
      <c r="N544" s="155">
        <f t="shared" si="236"/>
        <v>79948</v>
      </c>
      <c r="O544" s="155">
        <f t="shared" ref="O544:O549" ca="1" si="237">IF(L544&gt;0,N544*100/L544,0)</f>
        <v>22.535862374175146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354759</v>
      </c>
      <c r="M546" s="93">
        <f t="shared" si="240"/>
        <v>0</v>
      </c>
      <c r="N546" s="93">
        <f t="shared" si="240"/>
        <v>79948</v>
      </c>
      <c r="O546" s="93">
        <f t="shared" ca="1" si="237"/>
        <v>22.535862374175146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354759</v>
      </c>
      <c r="M547" s="466">
        <f t="shared" si="241"/>
        <v>0</v>
      </c>
      <c r="N547" s="466">
        <f t="shared" si="241"/>
        <v>79948</v>
      </c>
      <c r="O547" s="466">
        <f t="shared" ca="1" si="237"/>
        <v>22.535862374175146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IFERROR(__xludf.DUMMYFUNCTION("IMPORTRANGE(""https://docs.google.com/spreadsheets/d/1QqKyyYR6Q21VydFLVH3TRQUabQu_ym0Zz7PgGX0-kHA/edit?usp=sharing"",""แผน!HB29"")"),354759)</f>
        <v>354759</v>
      </c>
      <c r="M549" s="93">
        <v>0</v>
      </c>
      <c r="N549" s="93">
        <f>N550+N551+N552+N553+N554</f>
        <v>79948</v>
      </c>
      <c r="O549" s="93">
        <f t="shared" ca="1" si="237"/>
        <v>22.535862374175146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38567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41381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60744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IFERROR(__xludf.DUMMYFUNCTION("IMPORTRANGE(""https://docs.google.com/spreadsheets/d/1QqKyyYR6Q21VydFLVH3TRQUabQu_ym0Zz7PgGX0-kHA/edit?usp=sharing"",""แผน!HH29"")"),60744)</f>
        <v>60744</v>
      </c>
      <c r="J560" s="193">
        <f t="shared" ref="J560:J561" si="247">J562+J564+J566</f>
        <v>46318</v>
      </c>
      <c r="K560" s="380">
        <f t="shared" ca="1" si="246"/>
        <v>76.251152377189513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IFERROR(__xludf.DUMMYFUNCTION("IMPORTRANGE(""https://docs.google.com/spreadsheets/d/1QqKyyYR6Q21VydFLVH3TRQUabQu_ym0Zz7PgGX0-kHA/edit?usp=sharing"",""แผน!HG29"")"),8156)</f>
        <v>8156</v>
      </c>
      <c r="J561" s="193">
        <f t="shared" si="247"/>
        <v>6182</v>
      </c>
      <c r="K561" s="380">
        <f t="shared" ca="1" si="246"/>
        <v>75.796959293771451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45028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6007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1290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175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IFERROR(__xludf.DUMMYFUNCTION("IMPORTRANGE(""https://docs.google.com/spreadsheets/d/1QqKyyYR6Q21VydFLVH3TRQUabQu_ym0Zz7PgGX0-kHA/edit?usp=sharing"",""แผน!HH29"")"),60744)</f>
        <v>60744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IFERROR(__xludf.DUMMYFUNCTION("IMPORTRANGE(""https://docs.google.com/spreadsheets/d/1QqKyyYR6Q21VydFLVH3TRQUabQu_ym0Zz7PgGX0-kHA/edit?usp=sharing"",""แผน!HG29"")"),8156)</f>
        <v>8156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IFERROR(__xludf.DUMMYFUNCTION("IMPORTRANGE(""https://docs.google.com/spreadsheets/d/1QqKyyYR6Q21VydFLVH3TRQUabQu_ym0Zz7PgGX0-kHA/edit?usp=sharing"",""แผน!HH29"")"),60744)</f>
        <v>60744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IFERROR(__xludf.DUMMYFUNCTION("IMPORTRANGE(""https://docs.google.com/spreadsheets/d/1QqKyyYR6Q21VydFLVH3TRQUabQu_ym0Zz7PgGX0-kHA/edit?usp=sharing"",""แผน!HG29"")"),8156)</f>
        <v>8156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 hidden="1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0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 hidden="1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IFERROR(__xludf.DUMMYFUNCTION("IMPORTRANGE(""https://docs.google.com/spreadsheets/d/1QqKyyYR6Q21VydFLVH3TRQUabQu_ym0Zz7PgGX0-kHA/edit?usp=sharing"",""แผน!HJ29"")"),0)</f>
        <v>0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 hidden="1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IFERROR(__xludf.DUMMYFUNCTION("IMPORTRANGE(""https://docs.google.com/spreadsheets/d/1QqKyyYR6Q21VydFLVH3TRQUabQu_ym0Zz7PgGX0-kHA/edit?usp=sharing"",""แผน!HI29"")"),0)</f>
        <v>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 hidden="1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 hidden="1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 hidden="1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 hidden="1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 hidden="1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 hidden="1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 hidden="1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 hidden="1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 hidden="1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 hidden="1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 hidden="1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 hidden="1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 hidden="1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 hidden="1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 hidden="1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 hidden="1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IFERROR(__xludf.DUMMYFUNCTION("IMPORTRANGE(""https://docs.google.com/spreadsheets/d/1QqKyyYR6Q21VydFLVH3TRQUabQu_ym0Zz7PgGX0-kHA/edit?usp=sharing"",""แผน!HL29"")"),631)</f>
        <v>631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IFERROR(__xludf.DUMMYFUNCTION("IMPORTRANGE(""https://docs.google.com/spreadsheets/d/1QqKyyYR6Q21VydFLVH3TRQUabQu_ym0Zz7PgGX0-kHA/edit?usp=sharing"",""แผน!HK29"")"),50)</f>
        <v>50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10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165700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165700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165700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IFERROR(__xludf.DUMMYFUNCTION("IMPORTRANGE(""https://docs.google.com/spreadsheets/d/1QqKyyYR6Q21VydFLVH3TRQUabQu_ym0Zz7PgGX0-kHA/edit?usp=sharing"",""แผน!HN29"")"),165700)</f>
        <v>165700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IFERROR(__xludf.DUMMYFUNCTION("IMPORTRANGE(""https://docs.google.com/spreadsheets/d/1QqKyyYR6Q21VydFLVH3TRQUabQu_ym0Zz7PgGX0-kHA/edit?usp=sharing"",""แผน!HR29"")"),0)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IFERROR(__xludf.DUMMYFUNCTION("IMPORTRANGE(""https://docs.google.com/spreadsheets/d/1XWAQStnk-4SwqDmLtmXYiTMKHgktTP8We1SCoS47DrQ/edit?usp=sharing"",""จัดที่ดิน!AS29"")"),0)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IFERROR(__xludf.DUMMYFUNCTION("IMPORTRANGE(""https://docs.google.com/spreadsheets/d/1XWAQStnk-4SwqDmLtmXYiTMKHgktTP8We1SCoS47DrQ/edit?usp=sharing"",""จัดที่ดิน!AT29"")"),0)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IFERROR(__xludf.DUMMYFUNCTION("IMPORTRANGE(""https://docs.google.com/spreadsheets/d/1QqKyyYR6Q21VydFLVH3TRQUabQu_ym0Zz7PgGX0-kHA/edit?usp=sharing"",""แผน!HS29"")"),10)</f>
        <v>10</v>
      </c>
      <c r="J647" s="270">
        <f ca="1">IFERROR(__xludf.DUMMYFUNCTION("IMPORTRANGE(""https://docs.google.com/spreadsheets/d/1XWAQStnk-4SwqDmLtmXYiTMKHgktTP8We1SCoS47DrQ/edit?usp=sharing"",""จัดที่ดิน!AU29"")"),0)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IFERROR(__xludf.DUMMYFUNCTION("IMPORTRANGE(""https://docs.google.com/spreadsheets/d/1XWAQStnk-4SwqDmLtmXYiTMKHgktTP8We1SCoS47DrQ/edit?usp=sharing"",""จัดที่ดิน!AV29"")"),0)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IFERROR(__xludf.DUMMYFUNCTION("IMPORTRANGE(""https://docs.google.com/spreadsheets/d/1QqKyyYR6Q21VydFLVH3TRQUabQu_ym0Zz7PgGX0-kHA/edit?usp=sharing"",""แผน!HS29"")"),10)</f>
        <v>10</v>
      </c>
      <c r="J649" s="270">
        <f ca="1">IFERROR(__xludf.DUMMYFUNCTION("IMPORTRANGE(""https://docs.google.com/spreadsheets/d/1XWAQStnk-4SwqDmLtmXYiTMKHgktTP8We1SCoS47DrQ/edit?usp=sharing"",""จัดที่ดิน!AW29"")"),0)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IFERROR(__xludf.DUMMYFUNCTION("IMPORTRANGE(""https://docs.google.com/spreadsheets/d/1QqKyyYR6Q21VydFLVH3TRQUabQu_ym0Zz7PgGX0-kHA/edit?usp=sharing"",""แผน!HS29"")"),10)</f>
        <v>10</v>
      </c>
      <c r="J651" s="270">
        <f ca="1">IFERROR(__xludf.DUMMYFUNCTION("IMPORTRANGE(""https://docs.google.com/spreadsheets/d/1XWAQStnk-4SwqDmLtmXYiTMKHgktTP8We1SCoS47DrQ/edit?usp=sharing"",""จัดที่ดิน!AY29"")"),0)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IFERROR(__xludf.DUMMYFUNCTION("IMPORTRANGE(""https://docs.google.com/spreadsheets/d/1XWAQStnk-4SwqDmLtmXYiTMKHgktTP8We1SCoS47DrQ/edit?usp=sharing"",""จัดที่ดิน!AZ29"")"),0)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50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2500</v>
      </c>
      <c r="O655" s="195">
        <f t="shared" ref="O655:O660" ca="1" si="274">IF(L655&gt;0,N655*100/L655,0)</f>
        <v>26.595744680851062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2500</v>
      </c>
      <c r="O657" s="93">
        <f t="shared" ca="1" si="274"/>
        <v>26.595744680851062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si="277"/>
        <v>0</v>
      </c>
      <c r="N658" s="466">
        <f t="shared" si="277"/>
        <v>2500</v>
      </c>
      <c r="O658" s="466">
        <f t="shared" ca="1" si="274"/>
        <v>26.595744680851062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IFERROR(__xludf.DUMMYFUNCTION("IMPORTRANGE(""https://docs.google.com/spreadsheets/d/1QqKyyYR6Q21VydFLVH3TRQUabQu_ym0Zz7PgGX0-kHA/edit?usp=sharing"",""แผน!HV29"")"),9400)</f>
        <v>9400</v>
      </c>
      <c r="M660" s="93">
        <v>0</v>
      </c>
      <c r="N660" s="93">
        <f>N661+N662+N663+N664</f>
        <v>2500</v>
      </c>
      <c r="O660" s="93">
        <f t="shared" ca="1" si="274"/>
        <v>26.595744680851062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2500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IFERROR(__xludf.DUMMYFUNCTION("IMPORTRANGE(""https://docs.google.com/spreadsheets/d/1QqKyyYR6Q21VydFLVH3TRQUabQu_ym0Zz7PgGX0-kHA/edit?usp=sharing"",""แผน!IA29"")"),50)</f>
        <v>50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IFERROR(__xludf.DUMMYFUNCTION("IMPORTRANGE(""https://docs.google.com/spreadsheets/d/1QqKyyYR6Q21VydFLVH3TRQUabQu_ym0Zz7PgGX0-kHA/edit?usp=sharing"",""แผน!HZ29"")"),4)</f>
        <v>4</v>
      </c>
      <c r="J670" s="215">
        <v>5</v>
      </c>
      <c r="K670" s="466">
        <f ca="1">IF(I670&gt;0,(J670*100)/I670,0)</f>
        <v>125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IFERROR(__xludf.DUMMYFUNCTION("IMPORTRANGE(""https://docs.google.com/spreadsheets/d/1QqKyyYR6Q21VydFLVH3TRQUabQu_ym0Zz7PgGX0-kHA/edit?usp=sharing"",""แผน!HZ29"")"),4)</f>
        <v>4</v>
      </c>
      <c r="J671" s="215">
        <v>5</v>
      </c>
      <c r="K671" s="466">
        <f ca="1">IF(I$671&gt;0,J671*100/I$671,0)</f>
        <v>125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IFERROR(__xludf.DUMMYFUNCTION("IMPORTRANGE(""https://docs.google.com/spreadsheets/d/1QqKyyYR6Q21VydFLVH3TRQUabQu_ym0Zz7PgGX0-kHA/edit?usp=sharing"",""แผน!IB29"")"),0)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IFERROR(__xludf.DUMMYFUNCTION("IMPORTRANGE(""https://docs.google.com/spreadsheets/d/1QqKyyYR6Q21VydFLVH3TRQUabQu_ym0Zz7PgGX0-kHA/edit?usp=sharing"",""แผน!IC29"")"),0)</f>
        <v>0</v>
      </c>
      <c r="J699" s="270">
        <f ca="1">IFERROR(__xludf.DUMMYFUNCTION("IMPORTRANGE(""https://docs.google.com/spreadsheets/d/1XWAQStnk-4SwqDmLtmXYiTMKHgktTP8We1SCoS47DrQ/edit?usp=sharing"",""จัดที่ดิน!BB29"")"),0)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IFERROR(__xludf.DUMMYFUNCTION("IMPORTRANGE(""https://docs.google.com/spreadsheets/d/1QqKyyYR6Q21VydFLVH3TRQUabQu_ym0Zz7PgGX0-kHA/edit?usp=sharing"",""แผน!ID29"")"),0)</f>
        <v>0</v>
      </c>
      <c r="J700" s="270">
        <f ca="1">IFERROR(__xludf.DUMMYFUNCTION("IMPORTRANGE(""https://docs.google.com/spreadsheets/d/1XWAQStnk-4SwqDmLtmXYiTMKHgktTP8We1SCoS47DrQ/edit?usp=sharing"",""จัดที่ดิน!BD29"")"),0)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IFERROR(__xludf.DUMMYFUNCTION("IMPORTRANGE(""https://docs.google.com/spreadsheets/d/1QqKyyYR6Q21VydFLVH3TRQUabQu_ym0Zz7PgGX0-kHA/edit?usp=sharing"",""แผน!IE29"")"),0)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IFERROR(__xludf.DUMMYFUNCTION("IMPORTRANGE(""https://docs.google.com/spreadsheets/d/1QqKyyYR6Q21VydFLVH3TRQUabQu_ym0Zz7PgGX0-kHA/edit?usp=sharing"",""แผน!IF29"")"),0)</f>
        <v>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IFERROR(__xludf.DUMMYFUNCTION("IMPORTRANGE(""https://docs.google.com/spreadsheets/d/1QqKyyYR6Q21VydFLVH3TRQUabQu_ym0Zz7PgGX0-kHA/edit?usp=sharing"",""แผน!IG29"")"),0)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IFERROR(__xludf.DUMMYFUNCTION("IMPORTRANGE(""https://docs.google.com/spreadsheets/d/1QqKyyYR6Q21VydFLVH3TRQUabQu_ym0Zz7PgGX0-kHA/edit?usp=sharing"",""แผน!IH29"")"),0)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IFERROR(__xludf.DUMMYFUNCTION("IMPORTRANGE(""https://docs.google.com/spreadsheets/d/1XWAQStnk-4SwqDmLtmXYiTMKHgktTP8We1SCoS47DrQ/edit?usp=sharing"",""จัดที่ดิน!BF29"")"),0)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IFERROR(__xludf.DUMMYFUNCTION("IMPORTRANGE(""https://docs.google.com/spreadsheets/d/1XWAQStnk-4SwqDmLtmXYiTMKHgktTP8We1SCoS47DrQ/edit?usp=sharing"",""จัดที่ดิน!BG29"")"),0)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IFERROR(__xludf.DUMMYFUNCTION("IMPORTRANGE(""https://docs.google.com/spreadsheets/d/1QqKyyYR6Q21VydFLVH3TRQUabQu_ym0Zz7PgGX0-kHA/edit?usp=sharing"",""แผน!II29"")"),0)</f>
        <v>0</v>
      </c>
      <c r="J720" s="270">
        <f ca="1">IFERROR(__xludf.DUMMYFUNCTION("IMPORTRANGE(""https://docs.google.com/spreadsheets/d/1XWAQStnk-4SwqDmLtmXYiTMKHgktTP8We1SCoS47DrQ/edit?usp=sharing"",""จัดที่ดิน!BH29"")"),0)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IFERROR(__xludf.DUMMYFUNCTION("IMPORTRANGE(""https://docs.google.com/spreadsheets/d/1QqKyyYR6Q21VydFLVH3TRQUabQu_ym0Zz7PgGX0-kHA/edit?usp=sharing"",""แผน!IJ29"")"),0)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IFERROR(__xludf.DUMMYFUNCTION("IMPORTRANGE(""https://docs.google.com/spreadsheets/d/1QqKyyYR6Q21VydFLVH3TRQUabQu_ym0Zz7PgGX0-kHA/edit?usp=sharing"",""แผน!IK29"")"),0)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IFERROR(__xludf.DUMMYFUNCTION("IMPORTRANGE(""https://docs.google.com/spreadsheets/d/1QqKyyYR6Q21VydFLVH3TRQUabQu_ym0Zz7PgGX0-kHA/edit?usp=sharing"",""แผน!IL29"")"),0)</f>
        <v>0</v>
      </c>
      <c r="J723" s="270">
        <f ca="1">IFERROR(__xludf.DUMMYFUNCTION("IMPORTRANGE(""https://docs.google.com/spreadsheets/d/1XWAQStnk-4SwqDmLtmXYiTMKHgktTP8We1SCoS47DrQ/edit?usp=sharing"",""จัดที่ดิน!BM29"")"),0)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IFERROR(__xludf.DUMMYFUNCTION("IMPORTRANGE(""https://docs.google.com/spreadsheets/d/1XWAQStnk-4SwqDmLtmXYiTMKHgktTP8We1SCoS47DrQ/edit?usp=sharing"",""จัดที่ดิน!BN29"")"),0)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IFERROR(__xludf.DUMMYFUNCTION("IMPORTRANGE(""https://docs.google.com/spreadsheets/d/1QqKyyYR6Q21VydFLVH3TRQUabQu_ym0Zz7PgGX0-kHA/edit?usp=sharing"",""แผน!IM29"")"),0)</f>
        <v>0</v>
      </c>
      <c r="J725" s="270">
        <f ca="1">IFERROR(__xludf.DUMMYFUNCTION("IMPORTRANGE(""https://docs.google.com/spreadsheets/d/1XWAQStnk-4SwqDmLtmXYiTMKHgktTP8We1SCoS47DrQ/edit?usp=sharing"",""จัดที่ดิน!BO29"")"),0)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IFERROR(__xludf.DUMMYFUNCTION("IMPORTRANGE(""https://docs.google.com/spreadsheets/d/1QqKyyYR6Q21VydFLVH3TRQUabQu_ym0Zz7PgGX0-kHA/edit?usp=sharing"",""แผน!IN29"")"),0)</f>
        <v>0</v>
      </c>
      <c r="J726" s="270">
        <f ca="1">IFERROR(__xludf.DUMMYFUNCTION("IMPORTRANGE(""https://docs.google.com/spreadsheets/d/1XWAQStnk-4SwqDmLtmXYiTMKHgktTP8We1SCoS47DrQ/edit?usp=sharing"",""จัดที่ดิน!BR29"")"),0)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IFERROR(__xludf.DUMMYFUNCTION("IMPORTRANGE(""https://docs.google.com/spreadsheets/d/1XWAQStnk-4SwqDmLtmXYiTMKHgktTP8We1SCoS47DrQ/edit?usp=sharing"",""จัดที่ดิน!BS29"")"),0)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IFERROR(__xludf.DUMMYFUNCTION("IMPORTRANGE(""https://docs.google.com/spreadsheets/d/1QqKyyYR6Q21VydFLVH3TRQUabQu_ym0Zz7PgGX0-kHA/edit?usp=sharing"",""แผน!IO29"")"),0)</f>
        <v>0</v>
      </c>
      <c r="J728" s="270">
        <f ca="1">IFERROR(__xludf.DUMMYFUNCTION("IMPORTRANGE(""https://docs.google.com/spreadsheets/d/1XWAQStnk-4SwqDmLtmXYiTMKHgktTP8We1SCoS47DrQ/edit?usp=sharing"",""จัดที่ดิน!BT29"")"),0)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IFERROR(__xludf.DUMMYFUNCTION("IMPORTRANGE(""https://docs.google.com/spreadsheets/d/1QqKyyYR6Q21VydFLVH3TRQUabQu_ym0Zz7PgGX0-kHA/edit?usp=sharing"",""แผน!IP29"")"),0)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892" t="s">
        <v>46</v>
      </c>
      <c r="I785" s="893">
        <f t="shared" ref="I785:J785" ca="1" si="318">I801+I803</f>
        <v>5000</v>
      </c>
      <c r="J785" s="893">
        <f t="shared" ca="1" si="318"/>
        <v>1021</v>
      </c>
      <c r="K785" s="894">
        <f ca="1">IF(I785&gt;0,J785*100/I785,0)</f>
        <v>20.420000000000002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895" t="s">
        <v>12</v>
      </c>
      <c r="I786" s="896"/>
      <c r="J786" s="896"/>
      <c r="K786" s="897"/>
      <c r="L786" s="195">
        <f t="shared" ref="L786:N786" ca="1" si="319">L787+L788</f>
        <v>319200</v>
      </c>
      <c r="M786" s="195">
        <f t="shared" si="319"/>
        <v>0</v>
      </c>
      <c r="N786" s="195">
        <f t="shared" si="319"/>
        <v>157201</v>
      </c>
      <c r="O786" s="195">
        <f t="shared" ref="O786:O791" ca="1" si="320">IF(L786&gt;0,N786*100/L786,0)</f>
        <v>49.248433583959901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898" t="s">
        <v>12</v>
      </c>
      <c r="I787" s="896"/>
      <c r="J787" s="896"/>
      <c r="K787" s="89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898" t="s">
        <v>12</v>
      </c>
      <c r="I788" s="896"/>
      <c r="J788" s="896"/>
      <c r="K788" s="897"/>
      <c r="L788" s="93">
        <f t="shared" ca="1" si="322"/>
        <v>319200</v>
      </c>
      <c r="M788" s="93">
        <f t="shared" si="322"/>
        <v>0</v>
      </c>
      <c r="N788" s="93">
        <f t="shared" si="322"/>
        <v>157201</v>
      </c>
      <c r="O788" s="93">
        <f t="shared" ca="1" si="320"/>
        <v>49.248433583959901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27"/>
      <c r="F789" s="727"/>
      <c r="G789" s="189"/>
      <c r="H789" s="899" t="s">
        <v>12</v>
      </c>
      <c r="I789" s="900"/>
      <c r="J789" s="900"/>
      <c r="K789" s="901"/>
      <c r="L789" s="466">
        <f t="shared" ref="L789:N789" ca="1" si="323">L790+L791</f>
        <v>319200</v>
      </c>
      <c r="M789" s="466">
        <f t="shared" si="323"/>
        <v>0</v>
      </c>
      <c r="N789" s="466">
        <f t="shared" si="323"/>
        <v>157201</v>
      </c>
      <c r="O789" s="466">
        <f t="shared" ca="1" si="320"/>
        <v>49.248433583959901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898" t="s">
        <v>12</v>
      </c>
      <c r="I790" s="896"/>
      <c r="J790" s="896"/>
      <c r="K790" s="89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898" t="s">
        <v>12</v>
      </c>
      <c r="I791" s="896"/>
      <c r="J791" s="896"/>
      <c r="K791" s="897"/>
      <c r="L791" s="93">
        <f ca="1">IFERROR(__xludf.DUMMYFUNCTION("IMPORTRANGE(""https://docs.google.com/spreadsheets/d/1QqKyyYR6Q21VydFLVH3TRQUabQu_ym0Zz7PgGX0-kHA/edit?usp=sharing"",""แผน!JJ29"")"),319200)</f>
        <v>319200</v>
      </c>
      <c r="M791" s="93">
        <v>0</v>
      </c>
      <c r="N791" s="93">
        <f>N792+N793+N794+N795</f>
        <v>157201</v>
      </c>
      <c r="O791" s="93">
        <f t="shared" ca="1" si="320"/>
        <v>49.248433583959901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27"/>
      <c r="D792" s="727"/>
      <c r="E792" s="727"/>
      <c r="F792" s="727" t="s">
        <v>186</v>
      </c>
      <c r="G792" s="189"/>
      <c r="H792" s="899" t="s">
        <v>12</v>
      </c>
      <c r="I792" s="896"/>
      <c r="J792" s="896"/>
      <c r="K792" s="897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27"/>
      <c r="D793" s="727"/>
      <c r="E793" s="727"/>
      <c r="F793" s="727" t="s">
        <v>187</v>
      </c>
      <c r="G793" s="189"/>
      <c r="H793" s="899" t="s">
        <v>12</v>
      </c>
      <c r="I793" s="896"/>
      <c r="J793" s="896"/>
      <c r="K793" s="897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27"/>
      <c r="D794" s="727"/>
      <c r="E794" s="727"/>
      <c r="F794" s="727" t="s">
        <v>188</v>
      </c>
      <c r="G794" s="189"/>
      <c r="H794" s="899" t="s">
        <v>12</v>
      </c>
      <c r="I794" s="896"/>
      <c r="J794" s="896"/>
      <c r="K794" s="897"/>
      <c r="L794" s="466"/>
      <c r="M794" s="466"/>
      <c r="N794" s="798">
        <v>49915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27"/>
      <c r="D795" s="727"/>
      <c r="E795" s="727"/>
      <c r="F795" s="727" t="s">
        <v>189</v>
      </c>
      <c r="G795" s="189"/>
      <c r="H795" s="899" t="s">
        <v>12</v>
      </c>
      <c r="I795" s="896"/>
      <c r="J795" s="896"/>
      <c r="K795" s="897"/>
      <c r="L795" s="466"/>
      <c r="M795" s="466"/>
      <c r="N795" s="798">
        <v>107286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27"/>
      <c r="D796" s="571" t="s">
        <v>21</v>
      </c>
      <c r="E796" s="727"/>
      <c r="F796" s="727"/>
      <c r="G796" s="189"/>
      <c r="H796" s="902" t="s">
        <v>12</v>
      </c>
      <c r="I796" s="900"/>
      <c r="J796" s="900"/>
      <c r="K796" s="901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898" t="s">
        <v>12</v>
      </c>
      <c r="I797" s="900"/>
      <c r="J797" s="900"/>
      <c r="K797" s="90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903" t="s">
        <v>12</v>
      </c>
      <c r="I798" s="900"/>
      <c r="J798" s="900"/>
      <c r="K798" s="90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904"/>
      <c r="I799" s="900"/>
      <c r="J799" s="900"/>
      <c r="K799" s="901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6"/>
      <c r="H800" s="905" t="s">
        <v>34</v>
      </c>
      <c r="I800" s="900"/>
      <c r="J800" s="906">
        <f ca="1">IFERROR(__xludf.DUMMYFUNCTION("IMPORTRANGE(""https://docs.google.com/spreadsheets/d/1MaWodYyGHDf7siQLGxnXhG4mBNTNIuy296niS2xXulU/edit?usp=sharing"",""RTK!H29"")"),94)</f>
        <v>94</v>
      </c>
      <c r="K800" s="897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6"/>
      <c r="H801" s="899" t="s">
        <v>46</v>
      </c>
      <c r="I801" s="906">
        <f ca="1">IFERROR(__xludf.DUMMYFUNCTION("IMPORTRANGE(""https://docs.google.com/spreadsheets/d/1MaWodYyGHDf7siQLGxnXhG4mBNTNIuy296niS2xXulU/edit?usp=sharing"",""RTK!G29"")"),5000)</f>
        <v>5000</v>
      </c>
      <c r="J801" s="907">
        <f ca="1">IFERROR(__xludf.DUMMYFUNCTION("IMPORTRANGE(""https://docs.google.com/spreadsheets/d/1MaWodYyGHDf7siQLGxnXhG4mBNTNIuy296niS2xXulU/edit?usp=sharing"",""RTK!I29"")"),1021)</f>
        <v>1021</v>
      </c>
      <c r="K801" s="908">
        <f ca="1">IF(I801&gt;0,J801*100/I801,0)</f>
        <v>20.420000000000002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4"/>
      <c r="F802" s="780" t="s">
        <v>321</v>
      </c>
      <c r="G802" s="582"/>
      <c r="H802" s="905" t="s">
        <v>34</v>
      </c>
      <c r="I802" s="900"/>
      <c r="J802" s="906">
        <f ca="1">IFERROR(__xludf.DUMMYFUNCTION("IMPORTRANGE(""https://docs.google.com/spreadsheets/d/1MaWodYyGHDf7siQLGxnXhG4mBNTNIuy296niS2xXulU/edit?usp=sharing"",""RTK!L29"")"),0)</f>
        <v>0</v>
      </c>
      <c r="K802" s="897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4"/>
      <c r="F803" s="684"/>
      <c r="G803" s="582"/>
      <c r="H803" s="905" t="s">
        <v>46</v>
      </c>
      <c r="I803" s="906">
        <f ca="1">IFERROR(__xludf.DUMMYFUNCTION("IMPORTRANGE(""https://docs.google.com/spreadsheets/d/1MaWodYyGHDf7siQLGxnXhG4mBNTNIuy296niS2xXulU/edit?usp=sharing"",""RTK!K29"")"),0)</f>
        <v>0</v>
      </c>
      <c r="J803" s="907">
        <f ca="1">IFERROR(__xludf.DUMMYFUNCTION("IMPORTRANGE(""https://docs.google.com/spreadsheets/d/1MaWodYyGHDf7siQLGxnXhG4mBNTNIuy296niS2xXulU/edit?usp=sharing"",""RTK!M29"")"),0)</f>
        <v>0</v>
      </c>
      <c r="K803" s="90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27"/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8">L806+L807</f>
        <v>0</v>
      </c>
      <c r="M805" s="613">
        <f t="shared" si="328"/>
        <v>0</v>
      </c>
      <c r="N805" s="613">
        <f t="shared" si="328"/>
        <v>0</v>
      </c>
      <c r="O805" s="613">
        <f t="shared" ref="O805:O810" si="329">IF(L805&gt;0,N805*100/L805,0)</f>
        <v>0</v>
      </c>
      <c r="P805" s="613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2">L809+L810</f>
        <v>0</v>
      </c>
      <c r="M808" s="613">
        <f t="shared" si="332"/>
        <v>0</v>
      </c>
      <c r="N808" s="613">
        <f t="shared" si="332"/>
        <v>0</v>
      </c>
      <c r="O808" s="613">
        <f t="shared" si="329"/>
        <v>0</v>
      </c>
      <c r="P808" s="613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3">L816+L817</f>
        <v>0</v>
      </c>
      <c r="M815" s="613">
        <f t="shared" si="333"/>
        <v>0</v>
      </c>
      <c r="N815" s="613">
        <f t="shared" si="333"/>
        <v>0</v>
      </c>
      <c r="O815" s="613">
        <f t="shared" ref="O815:O817" si="334">IF(L815&gt;0,N815*100/L815,0)</f>
        <v>0</v>
      </c>
      <c r="P815" s="613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270">
        <f ca="1">IFERROR(__xludf.DUMMYFUNCTION("IMPORTRANGE(""https://docs.google.com/spreadsheets/d/19vJNZY_5yjcGF2XGBMNZRCAIB0Kwfpjp8YEOfu-bneM/edit?usp=sharing"",""งานกองทุน!F29"")"),6507778.13)</f>
        <v>6507778.1299999999</v>
      </c>
      <c r="K821" s="466">
        <f t="shared" ref="K821:K828" ca="1" si="336">IF(I821&gt;0,J821*100/I821,0)</f>
        <v>30.547682001776923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IFERROR(__xludf.DUMMYFUNCTION("IMPORTRANGE(""https://docs.google.com/spreadsheets/d/19vJNZY_5yjcGF2XGBMNZRCAIB0Kwfpjp8YEOfu-bneM/edit?usp=sharing"",""งานกองทุน!C29"")"),831)</f>
        <v>831</v>
      </c>
      <c r="J822" s="270">
        <f ca="1">IFERROR(__xludf.DUMMYFUNCTION("IMPORTRANGE(""https://docs.google.com/spreadsheets/d/19vJNZY_5yjcGF2XGBMNZRCAIB0Kwfpjp8YEOfu-bneM/edit?usp=sharing"",""งานกองทุน!E29"")"),317)</f>
        <v>317</v>
      </c>
      <c r="K822" s="466">
        <f t="shared" ca="1" si="336"/>
        <v>38.146811070998794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270">
        <f ca="1">IFERROR(__xludf.DUMMYFUNCTION("IMPORTRANGE(""https://docs.google.com/spreadsheets/d/19vJNZY_5yjcGF2XGBMNZRCAIB0Kwfpjp8YEOfu-bneM/edit?usp=sharing"",""งานกองทุน!K29"")"),849672.56)</f>
        <v>849672.56</v>
      </c>
      <c r="K823" s="466">
        <f t="shared" ca="1" si="336"/>
        <v>4.479658434884267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IFERROR(__xludf.DUMMYFUNCTION("IMPORTRANGE(""https://docs.google.com/spreadsheets/d/19vJNZY_5yjcGF2XGBMNZRCAIB0Kwfpjp8YEOfu-bneM/edit?usp=sharing"",""งานกองทุน!H29"")"),678)</f>
        <v>678</v>
      </c>
      <c r="J824" s="270">
        <f ca="1">IFERROR(__xludf.DUMMYFUNCTION("IMPORTRANGE(""https://docs.google.com/spreadsheets/d/19vJNZY_5yjcGF2XGBMNZRCAIB0Kwfpjp8YEOfu-bneM/edit?usp=sharing"",""งานกองทุน!J29"")"),146)</f>
        <v>146</v>
      </c>
      <c r="K824" s="466">
        <f t="shared" ca="1" si="336"/>
        <v>21.533923303834808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270">
        <f ca="1">IFERROR(__xludf.DUMMYFUNCTION("IMPORTRANGE(""https://docs.google.com/spreadsheets/d/19vJNZY_5yjcGF2XGBMNZRCAIB0Kwfpjp8YEOfu-bneM/edit?usp=sharing"",""งานกองทุน!P29"")"),199047.65)</f>
        <v>199047.65</v>
      </c>
      <c r="K825" s="466">
        <f t="shared" ca="1" si="336"/>
        <v>13.093835214746596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IFERROR(__xludf.DUMMYFUNCTION("IMPORTRANGE(""https://docs.google.com/spreadsheets/d/19vJNZY_5yjcGF2XGBMNZRCAIB0Kwfpjp8YEOfu-bneM/edit?usp=sharing"",""งานกองทุน!M29"")"),76)</f>
        <v>76</v>
      </c>
      <c r="J826" s="270">
        <f ca="1">IFERROR(__xludf.DUMMYFUNCTION("IMPORTRANGE(""https://docs.google.com/spreadsheets/d/19vJNZY_5yjcGF2XGBMNZRCAIB0Kwfpjp8YEOfu-bneM/edit?usp=sharing"",""งานกองทุน!O29"")"),20)</f>
        <v>20</v>
      </c>
      <c r="K826" s="466">
        <f t="shared" ca="1" si="336"/>
        <v>26.315789473684209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IFERROR(__xludf.DUMMYFUNCTION("IMPORTRANGE(""https://docs.google.com/spreadsheets/d/19vJNZY_5yjcGF2XGBMNZRCAIB0Kwfpjp8YEOfu-bneM/edit?usp=sharing"",""งานกองทุน!S29"")"),14130000)</f>
        <v>14130000</v>
      </c>
      <c r="J827" s="270">
        <f ca="1">IFERROR(__xludf.DUMMYFUNCTION("IMPORTRANGE(""https://docs.google.com/spreadsheets/d/19vJNZY_5yjcGF2XGBMNZRCAIB0Kwfpjp8YEOfu-bneM/edit?usp=sharing"",""งานกองทุน!U29"")"),6660000)</f>
        <v>6660000</v>
      </c>
      <c r="K827" s="466">
        <f t="shared" ca="1" si="336"/>
        <v>47.133757961783438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IFERROR(__xludf.DUMMYFUNCTION("IMPORTRANGE(""https://docs.google.com/spreadsheets/d/19vJNZY_5yjcGF2XGBMNZRCAIB0Kwfpjp8YEOfu-bneM/edit?usp=sharing"",""งานกองทุน!R29"")"),565)</f>
        <v>565</v>
      </c>
      <c r="J828" s="469">
        <f ca="1">IFERROR(__xludf.DUMMYFUNCTION("IMPORTRANGE(""https://docs.google.com/spreadsheets/d/19vJNZY_5yjcGF2XGBMNZRCAIB0Kwfpjp8YEOfu-bneM/edit?usp=sharing"",""งานกองทุน!T29"")"),142)</f>
        <v>142</v>
      </c>
      <c r="K828" s="470">
        <f t="shared" ca="1" si="336"/>
        <v>25.13274336283186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98DC8-7CE7-48FD-8189-B859E7FB1B0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8.7109375" style="801" bestFit="1" customWidth="1"/>
    <col min="10" max="10" width="14.4257812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354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7423303</v>
      </c>
      <c r="M8" s="22">
        <f t="shared" ca="1" si="0"/>
        <v>2621842</v>
      </c>
      <c r="N8" s="22">
        <f t="shared" ca="1" si="0"/>
        <v>2330464.3899999997</v>
      </c>
      <c r="O8" s="22">
        <f t="shared" ref="O8:O16" ca="1" si="1">IF(L8&gt;0,N8*100/L8,0)</f>
        <v>31.393900936011903</v>
      </c>
      <c r="P8" s="22">
        <f t="shared" ref="P8:P16" ca="1" si="2">IF(M8&gt;0,N8*100/M8,0)</f>
        <v>88.886530538453485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7423303</v>
      </c>
      <c r="M10" s="30">
        <f t="shared" ca="1" si="3"/>
        <v>2621842</v>
      </c>
      <c r="N10" s="30">
        <f t="shared" ca="1" si="3"/>
        <v>2330464.3899999997</v>
      </c>
      <c r="O10" s="30">
        <f t="shared" ca="1" si="1"/>
        <v>31.393900936011903</v>
      </c>
      <c r="P10" s="30">
        <f t="shared" ca="1" si="2"/>
        <v>88.886530538453485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6919003</v>
      </c>
      <c r="M11" s="466">
        <f t="shared" ca="1" si="4"/>
        <v>2117542</v>
      </c>
      <c r="N11" s="466">
        <f t="shared" ca="1" si="4"/>
        <v>1826164.39</v>
      </c>
      <c r="O11" s="466">
        <f t="shared" ca="1" si="1"/>
        <v>26.393461456802374</v>
      </c>
      <c r="P11" s="466">
        <f t="shared" ca="1" si="2"/>
        <v>86.239819092136074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6919003</v>
      </c>
      <c r="M13" s="93">
        <f t="shared" ca="1" si="5"/>
        <v>2117542</v>
      </c>
      <c r="N13" s="93">
        <f t="shared" ca="1" si="5"/>
        <v>1826164.39</v>
      </c>
      <c r="O13" s="93">
        <f t="shared" ca="1" si="1"/>
        <v>26.393461456802374</v>
      </c>
      <c r="P13" s="93">
        <f t="shared" ca="1" si="2"/>
        <v>86.239819092136074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504300</v>
      </c>
      <c r="M14" s="466">
        <f t="shared" ca="1" si="6"/>
        <v>504300</v>
      </c>
      <c r="N14" s="466">
        <f t="shared" ca="1" si="6"/>
        <v>504300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504300</v>
      </c>
      <c r="M16" s="52">
        <f t="shared" ca="1" si="7"/>
        <v>504300</v>
      </c>
      <c r="N16" s="52">
        <f t="shared" ca="1" si="7"/>
        <v>504300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4499887</v>
      </c>
      <c r="M18" s="22">
        <f t="shared" ca="1" si="8"/>
        <v>2621842</v>
      </c>
      <c r="N18" s="22">
        <f t="shared" ca="1" si="8"/>
        <v>1766057.69</v>
      </c>
      <c r="O18" s="22">
        <f t="shared" ref="O18:O26" ca="1" si="9">IF(L18&gt;0,N18*100/L18,0)</f>
        <v>39.246711972989544</v>
      </c>
      <c r="P18" s="22">
        <f t="shared" ref="P18:P26" ca="1" si="10">IF(M18&gt;0,N18*100/M18,0)</f>
        <v>67.359424786085512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4499887</v>
      </c>
      <c r="M20" s="30">
        <f t="shared" ca="1" si="11"/>
        <v>2621842</v>
      </c>
      <c r="N20" s="30">
        <f t="shared" ca="1" si="11"/>
        <v>1766057.69</v>
      </c>
      <c r="O20" s="30">
        <f t="shared" ca="1" si="9"/>
        <v>39.246711972989544</v>
      </c>
      <c r="P20" s="30">
        <f t="shared" ca="1" si="10"/>
        <v>67.359424786085512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3995587</v>
      </c>
      <c r="M21" s="466">
        <f t="shared" ca="1" si="12"/>
        <v>2117542</v>
      </c>
      <c r="N21" s="466">
        <f t="shared" ca="1" si="12"/>
        <v>1261757.69</v>
      </c>
      <c r="O21" s="466">
        <f t="shared" ca="1" si="9"/>
        <v>31.578781540734816</v>
      </c>
      <c r="P21" s="466">
        <f t="shared" ca="1" si="10"/>
        <v>59.585958153368388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3995587</v>
      </c>
      <c r="M23" s="93">
        <f t="shared" ca="1" si="13"/>
        <v>2117542</v>
      </c>
      <c r="N23" s="93">
        <f t="shared" ca="1" si="13"/>
        <v>1261757.69</v>
      </c>
      <c r="O23" s="93">
        <f t="shared" ca="1" si="9"/>
        <v>31.578781540734816</v>
      </c>
      <c r="P23" s="93">
        <f t="shared" ca="1" si="10"/>
        <v>59.585958153368388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504300</v>
      </c>
      <c r="M24" s="466">
        <f t="shared" ca="1" si="14"/>
        <v>504300</v>
      </c>
      <c r="N24" s="466">
        <f t="shared" ca="1" si="14"/>
        <v>504300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504300</v>
      </c>
      <c r="M26" s="52">
        <f t="shared" ca="1" si="15"/>
        <v>504300</v>
      </c>
      <c r="N26" s="52">
        <f t="shared" ca="1" si="15"/>
        <v>504300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2923416</v>
      </c>
      <c r="M28" s="22">
        <f t="shared" si="16"/>
        <v>0</v>
      </c>
      <c r="N28" s="22">
        <f t="shared" si="16"/>
        <v>564406.69999999995</v>
      </c>
      <c r="O28" s="22">
        <f t="shared" ref="O28:O37" ca="1" si="17">IF(L28&gt;0,N28*100/L28,0)</f>
        <v>19.306410719514428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2923416</v>
      </c>
      <c r="M30" s="30">
        <f t="shared" si="19"/>
        <v>0</v>
      </c>
      <c r="N30" s="30">
        <f t="shared" si="19"/>
        <v>564406.69999999995</v>
      </c>
      <c r="O30" s="30">
        <f t="shared" ca="1" si="17"/>
        <v>19.306410719514428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2923416</v>
      </c>
      <c r="M31" s="466">
        <f t="shared" si="20"/>
        <v>0</v>
      </c>
      <c r="N31" s="466">
        <f t="shared" si="20"/>
        <v>564406.69999999995</v>
      </c>
      <c r="O31" s="466">
        <f t="shared" ca="1" si="17"/>
        <v>19.306410719514428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2923416</v>
      </c>
      <c r="M33" s="93">
        <f t="shared" si="21"/>
        <v>0</v>
      </c>
      <c r="N33" s="93">
        <f t="shared" si="21"/>
        <v>564406.69999999995</v>
      </c>
      <c r="O33" s="93">
        <f t="shared" ca="1" si="17"/>
        <v>19.306410719514428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4499887</v>
      </c>
      <c r="M37" s="832">
        <f t="shared" ca="1" si="24"/>
        <v>2621842</v>
      </c>
      <c r="N37" s="832">
        <f t="shared" ca="1" si="24"/>
        <v>1766057.69</v>
      </c>
      <c r="O37" s="832">
        <f t="shared" ca="1" si="17"/>
        <v>39.246711972989544</v>
      </c>
      <c r="P37" s="832">
        <f t="shared" ca="1" si="18"/>
        <v>67.359424786085512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794042</v>
      </c>
      <c r="M41" s="85">
        <f t="shared" ca="1" si="25"/>
        <v>411412</v>
      </c>
      <c r="N41" s="85">
        <f t="shared" ca="1" si="25"/>
        <v>306262</v>
      </c>
      <c r="O41" s="85">
        <f t="shared" ref="O41:O49" ca="1" si="26">IF(L41&gt;0,N41*100/L41,0)</f>
        <v>38.570000075562753</v>
      </c>
      <c r="P41" s="85">
        <f t="shared" ref="P41:P49" ca="1" si="27">IF(M41&gt;0,N41*100/M41,0)</f>
        <v>74.441678900955736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794042</v>
      </c>
      <c r="M43" s="92">
        <f t="shared" ca="1" si="28"/>
        <v>411412</v>
      </c>
      <c r="N43" s="92">
        <f t="shared" ca="1" si="28"/>
        <v>306262</v>
      </c>
      <c r="O43" s="92">
        <f t="shared" ca="1" si="26"/>
        <v>38.570000075562753</v>
      </c>
      <c r="P43" s="92">
        <f t="shared" ca="1" si="27"/>
        <v>74.441678900955736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794042</v>
      </c>
      <c r="M44" s="466">
        <f t="shared" ca="1" si="29"/>
        <v>411412</v>
      </c>
      <c r="N44" s="466">
        <f t="shared" ca="1" si="29"/>
        <v>306262</v>
      </c>
      <c r="O44" s="466">
        <f t="shared" ca="1" si="26"/>
        <v>38.570000075562753</v>
      </c>
      <c r="P44" s="466">
        <f t="shared" ca="1" si="27"/>
        <v>74.441678900955736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IFERROR(__xludf.DUMMYFUNCTION("IMPORTRANGE(""https://docs.google.com/spreadsheets/d/1MeEWN-I1oV_STSDYn1IFDPWt_1FKiwhDph83XaGc0o0/edit?usp=sharing"",""งบพรบ!M30"")"),794042)</f>
        <v>794042</v>
      </c>
      <c r="M46" s="93">
        <f ca="1">IFERROR(__xludf.DUMMYFUNCTION("IMPORTRANGE(""https://docs.google.com/spreadsheets/d/1MeEWN-I1oV_STSDYn1IFDPWt_1FKiwhDph83XaGc0o0/edit?usp=sharing"",""งบพรบ!R30"")"),411412)</f>
        <v>411412</v>
      </c>
      <c r="N46" s="93">
        <f ca="1">IFERROR(__xludf.DUMMYFUNCTION("IMPORTRANGE(""https://docs.google.com/spreadsheets/d/1MeEWN-I1oV_STSDYn1IFDPWt_1FKiwhDph83XaGc0o0/edit?usp=sharing"",""งบพรบ!T30"")"),306262)</f>
        <v>306262</v>
      </c>
      <c r="O46" s="93">
        <f t="shared" ca="1" si="26"/>
        <v>38.570000075562753</v>
      </c>
      <c r="P46" s="93">
        <f t="shared" ca="1" si="27"/>
        <v>74.441678900955736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IFERROR(__xludf.DUMMYFUNCTION("IMPORTRANGE(""https://docs.google.com/spreadsheets/d/1MeEWN-I1oV_STSDYn1IFDPWt_1FKiwhDph83XaGc0o0/edit?usp=sharing"",""งบพรบ!P30"")"),0)</f>
        <v>0</v>
      </c>
      <c r="M49" s="52">
        <f ca="1">IFERROR(__xludf.DUMMYFUNCTION("IMPORTRANGE(""https://docs.google.com/spreadsheets/d/1MeEWN-I1oV_STSDYn1IFDPWt_1FKiwhDph83XaGc0o0/edit?usp=sharing"",""งบพรบ!S30"")"),0)</f>
        <v>0</v>
      </c>
      <c r="N49" s="52">
        <f ca="1">IFERROR(__xludf.DUMMYFUNCTION("IMPORTRANGE(""https://docs.google.com/spreadsheets/d/1MeEWN-I1oV_STSDYn1IFDPWt_1FKiwhDph83XaGc0o0/edit?usp=sharing"",""งบพรบ!U30"")"),0)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1135900</v>
      </c>
      <c r="M53" s="116">
        <f t="shared" ca="1" si="31"/>
        <v>742950</v>
      </c>
      <c r="N53" s="116">
        <f t="shared" ca="1" si="31"/>
        <v>666835.47</v>
      </c>
      <c r="O53" s="116">
        <f t="shared" ref="O53:O61" ca="1" si="32">IF(L53&gt;0,N53*100/L53,0)</f>
        <v>58.705473193062772</v>
      </c>
      <c r="P53" s="116">
        <f t="shared" ref="P53:P61" ca="1" si="33">IF(M53&gt;0,N53*100/M53,0)</f>
        <v>89.755093882495459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1135900</v>
      </c>
      <c r="M55" s="123">
        <f t="shared" ca="1" si="34"/>
        <v>742950</v>
      </c>
      <c r="N55" s="123">
        <f t="shared" ca="1" si="34"/>
        <v>666835.47</v>
      </c>
      <c r="O55" s="123">
        <f t="shared" ca="1" si="32"/>
        <v>58.705473193062772</v>
      </c>
      <c r="P55" s="123">
        <f t="shared" ca="1" si="33"/>
        <v>89.755093882495459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785900</v>
      </c>
      <c r="M56" s="466">
        <f t="shared" ca="1" si="35"/>
        <v>392950</v>
      </c>
      <c r="N56" s="466">
        <f t="shared" ca="1" si="35"/>
        <v>316835.46999999997</v>
      </c>
      <c r="O56" s="466">
        <f t="shared" ca="1" si="32"/>
        <v>40.314985367095048</v>
      </c>
      <c r="P56" s="466">
        <f t="shared" ca="1" si="33"/>
        <v>80.629970734190096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IFERROR(__xludf.DUMMYFUNCTION("IMPORTRANGE(""https://docs.google.com/spreadsheets/d/1MeEWN-I1oV_STSDYn1IFDPWt_1FKiwhDph83XaGc0o0/edit?usp=sharing"",""งบพรบ!W30"")"),785900)</f>
        <v>785900</v>
      </c>
      <c r="M58" s="93">
        <f ca="1">IFERROR(__xludf.DUMMYFUNCTION("IMPORTRANGE(""https://docs.google.com/spreadsheets/d/1MeEWN-I1oV_STSDYn1IFDPWt_1FKiwhDph83XaGc0o0/edit?usp=sharing"",""งบพรบ!AB30"")"),392950)</f>
        <v>392950</v>
      </c>
      <c r="N58" s="93">
        <f ca="1">IFERROR(__xludf.DUMMYFUNCTION("IMPORTRANGE(""https://docs.google.com/spreadsheets/d/1MeEWN-I1oV_STSDYn1IFDPWt_1FKiwhDph83XaGc0o0/edit?usp=sharing"",""งบพรบ!AD30"")"),316835.47)</f>
        <v>316835.46999999997</v>
      </c>
      <c r="O58" s="93">
        <f t="shared" ca="1" si="32"/>
        <v>40.314985367095048</v>
      </c>
      <c r="P58" s="93">
        <f t="shared" ca="1" si="33"/>
        <v>80.629970734190096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350000</v>
      </c>
      <c r="N59" s="466">
        <f t="shared" ca="1" si="36"/>
        <v>350000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IFERROR(__xludf.DUMMYFUNCTION("IMPORTRANGE(""https://docs.google.com/spreadsheets/d/1MeEWN-I1oV_STSDYn1IFDPWt_1FKiwhDph83XaGc0o0/edit?usp=sharing"",""งบพรบ!Z30"")"),350000)</f>
        <v>350000</v>
      </c>
      <c r="M61" s="52">
        <f ca="1">IFERROR(__xludf.DUMMYFUNCTION("IMPORTRANGE(""https://docs.google.com/spreadsheets/d/1MeEWN-I1oV_STSDYn1IFDPWt_1FKiwhDph83XaGc0o0/edit?usp=sharing"",""งบพรบ!AC30"")"),350000)</f>
        <v>350000</v>
      </c>
      <c r="N61" s="52">
        <f ca="1">IFERROR(__xludf.DUMMYFUNCTION("IMPORTRANGE(""https://docs.google.com/spreadsheets/d/1MeEWN-I1oV_STSDYn1IFDPWt_1FKiwhDph83XaGc0o0/edit?usp=sharing"",""งบพรบ!AE30"")"),350000)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32</v>
      </c>
      <c r="J65" s="144">
        <f t="shared" si="37"/>
        <v>32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880200</v>
      </c>
      <c r="M66" s="155">
        <f t="shared" ca="1" si="39"/>
        <v>436000</v>
      </c>
      <c r="N66" s="155">
        <f t="shared" ca="1" si="39"/>
        <v>217236</v>
      </c>
      <c r="O66" s="155">
        <f t="shared" ref="O66:O74" ca="1" si="40">IF(L66&gt;0,N66*100/L66,0)</f>
        <v>24.680299931833673</v>
      </c>
      <c r="P66" s="155">
        <f t="shared" ref="P66:P74" ca="1" si="41">IF(M66&gt;0,N66*100/M66,0)</f>
        <v>49.824770642201834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880200</v>
      </c>
      <c r="M68" s="93">
        <f t="shared" ca="1" si="42"/>
        <v>436000</v>
      </c>
      <c r="N68" s="93">
        <f t="shared" ca="1" si="42"/>
        <v>217236</v>
      </c>
      <c r="O68" s="93">
        <f t="shared" ca="1" si="40"/>
        <v>24.680299931833673</v>
      </c>
      <c r="P68" s="93">
        <f t="shared" ca="1" si="41"/>
        <v>49.824770642201834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880200</v>
      </c>
      <c r="M69" s="466">
        <f t="shared" ca="1" si="43"/>
        <v>436000</v>
      </c>
      <c r="N69" s="466">
        <f t="shared" ca="1" si="43"/>
        <v>217236</v>
      </c>
      <c r="O69" s="466">
        <f t="shared" ca="1" si="40"/>
        <v>24.680299931833673</v>
      </c>
      <c r="P69" s="466">
        <f t="shared" ca="1" si="41"/>
        <v>49.824770642201834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IFERROR(__xludf.DUMMYFUNCTION("IMPORTRANGE(""https://docs.google.com/spreadsheets/d/1MeEWN-I1oV_STSDYn1IFDPWt_1FKiwhDph83XaGc0o0/edit?usp=sharing"",""งบพรบ!AG30"")"),880200)</f>
        <v>880200</v>
      </c>
      <c r="M71" s="93">
        <f ca="1">IFERROR(__xludf.DUMMYFUNCTION("IMPORTRANGE(""https://docs.google.com/spreadsheets/d/1MeEWN-I1oV_STSDYn1IFDPWt_1FKiwhDph83XaGc0o0/edit?usp=sharing"",""งบพรบ!AL30"")"),436000)</f>
        <v>436000</v>
      </c>
      <c r="N71" s="93">
        <f ca="1">IFERROR(__xludf.DUMMYFUNCTION("IMPORTRANGE(""https://docs.google.com/spreadsheets/d/1MeEWN-I1oV_STSDYn1IFDPWt_1FKiwhDph83XaGc0o0/edit?usp=sharing"",""งบพรบ!AN30"")"),217236)</f>
        <v>217236</v>
      </c>
      <c r="O71" s="93">
        <f t="shared" ca="1" si="40"/>
        <v>24.680299931833673</v>
      </c>
      <c r="P71" s="93">
        <f t="shared" ca="1" si="41"/>
        <v>49.824770642201834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IFERROR(__xludf.DUMMYFUNCTION("IMPORTRANGE(""https://docs.google.com/spreadsheets/d/1MeEWN-I1oV_STSDYn1IFDPWt_1FKiwhDph83XaGc0o0/edit?usp=sharing"",""งบพรบ!AJ30"")"),0)</f>
        <v>0</v>
      </c>
      <c r="M74" s="93">
        <f ca="1">IFERROR(__xludf.DUMMYFUNCTION("IMPORTRANGE(""https://docs.google.com/spreadsheets/d/1MeEWN-I1oV_STSDYn1IFDPWt_1FKiwhDph83XaGc0o0/edit?usp=sharing"",""งบพรบ!AM30"")"),0)</f>
        <v>0</v>
      </c>
      <c r="N74" s="93">
        <f ca="1">IFERROR(__xludf.DUMMYFUNCTION("IMPORTRANGE(""https://docs.google.com/spreadsheets/d/1MeEWN-I1oV_STSDYn1IFDPWt_1FKiwhDph83XaGc0o0/edit?usp=sharing"",""งบพรบ!AO30"")"),0)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32</v>
      </c>
      <c r="J77" s="270">
        <f t="shared" si="45"/>
        <v>32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IFERROR(__xludf.DUMMYFUNCTION("IMPORTRANGE(""https://docs.google.com/spreadsheets/d/1QqKyyYR6Q21VydFLVH3TRQUabQu_ym0Zz7PgGX0-kHA/edit?usp=sharing"",""แผน!H30"")"),0)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IFERROR(__xludf.DUMMYFUNCTION("IMPORTRANGE(""https://docs.google.com/spreadsheets/d/1QqKyyYR6Q21VydFLVH3TRQUabQu_ym0Zz7PgGX0-kHA/edit?usp=sharing"",""แผน!I30"")"),0)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IFERROR(__xludf.DUMMYFUNCTION("IMPORTRANGE(""https://docs.google.com/spreadsheets/d/1QqKyyYR6Q21VydFLVH3TRQUabQu_ym0Zz7PgGX0-kHA/edit?usp=sharing"",""แผน!F30"")"),1)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IFERROR(__xludf.DUMMYFUNCTION("IMPORTRANGE(""https://docs.google.com/spreadsheets/d/1QqKyyYR6Q21VydFLVH3TRQUabQu_ym0Zz7PgGX0-kHA/edit?usp=sharing"",""แผน!G30"")"),32)</f>
        <v>32</v>
      </c>
      <c r="J81" s="215">
        <v>32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IFERROR(__xludf.DUMMYFUNCTION("IMPORTRANGE(""https://docs.google.com/spreadsheets/d/1QqKyyYR6Q21VydFLVH3TRQUabQu_ym0Zz7PgGX0-kHA/edit?usp=sharing"",""แผน!D30"")"),0)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IFERROR(__xludf.DUMMYFUNCTION("IMPORTRANGE(""https://docs.google.com/spreadsheets/d/1QqKyyYR6Q21VydFLVH3TRQUabQu_ym0Zz7PgGX0-kHA/edit?usp=sharing"",""แผน!E30"")"),0)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IFERROR(__xludf.DUMMYFUNCTION("IMPORTRANGE(""https://docs.google.com/spreadsheets/d/1QqKyyYR6Q21VydFLVH3TRQUabQu_ym0Zz7PgGX0-kHA/edit?usp=sharing"",""แผน!J30"")"),1)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150</v>
      </c>
      <c r="K86" s="145">
        <f t="shared" ref="K86:K87" ca="1" si="48">IF(I86&gt;0,J86*100/I86,0)</f>
        <v>250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60</v>
      </c>
      <c r="K87" s="145">
        <f t="shared" ca="1" si="48"/>
        <v>300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111180</v>
      </c>
      <c r="M88" s="155">
        <f t="shared" ca="1" si="49"/>
        <v>45980</v>
      </c>
      <c r="N88" s="155">
        <f t="shared" ca="1" si="49"/>
        <v>40005</v>
      </c>
      <c r="O88" s="155">
        <f t="shared" ref="O88:O96" ca="1" si="50">IF(L88&gt;0,N88*100/L88,0)</f>
        <v>35.982191041554238</v>
      </c>
      <c r="P88" s="155">
        <f t="shared" ref="P88:P96" ca="1" si="51">IF(M88&gt;0,N88*100/M88,0)</f>
        <v>87.005219660722048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111180</v>
      </c>
      <c r="M90" s="93">
        <f t="shared" ca="1" si="52"/>
        <v>45980</v>
      </c>
      <c r="N90" s="93">
        <f t="shared" ca="1" si="52"/>
        <v>40005</v>
      </c>
      <c r="O90" s="93">
        <f t="shared" ca="1" si="50"/>
        <v>35.982191041554238</v>
      </c>
      <c r="P90" s="93">
        <f t="shared" ca="1" si="51"/>
        <v>87.005219660722048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111180</v>
      </c>
      <c r="M91" s="466">
        <f t="shared" ca="1" si="53"/>
        <v>45980</v>
      </c>
      <c r="N91" s="466">
        <f t="shared" ca="1" si="53"/>
        <v>40005</v>
      </c>
      <c r="O91" s="466">
        <f t="shared" ca="1" si="50"/>
        <v>35.982191041554238</v>
      </c>
      <c r="P91" s="466">
        <f t="shared" ca="1" si="51"/>
        <v>87.005219660722048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IFERROR(__xludf.DUMMYFUNCTION("IMPORTRANGE(""https://docs.google.com/spreadsheets/d/1MeEWN-I1oV_STSDYn1IFDPWt_1FKiwhDph83XaGc0o0/edit?usp=sharing"",""งบพรบ!AQ30"")"),111180)</f>
        <v>111180</v>
      </c>
      <c r="M93" s="93">
        <f ca="1">IFERROR(__xludf.DUMMYFUNCTION("IMPORTRANGE(""https://docs.google.com/spreadsheets/d/1MeEWN-I1oV_STSDYn1IFDPWt_1FKiwhDph83XaGc0o0/edit?usp=sharing"",""งบพรบ!AV30"")"),45980)</f>
        <v>45980</v>
      </c>
      <c r="N93" s="93">
        <f ca="1">IFERROR(__xludf.DUMMYFUNCTION("IMPORTRANGE(""https://docs.google.com/spreadsheets/d/1MeEWN-I1oV_STSDYn1IFDPWt_1FKiwhDph83XaGc0o0/edit?usp=sharing"",""งบพรบ!AX30"")"),40005)</f>
        <v>40005</v>
      </c>
      <c r="O93" s="93">
        <f t="shared" ca="1" si="50"/>
        <v>35.982191041554238</v>
      </c>
      <c r="P93" s="93">
        <f t="shared" ca="1" si="51"/>
        <v>87.005219660722048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IFERROR(__xludf.DUMMYFUNCTION("IMPORTRANGE(""https://docs.google.com/spreadsheets/d/1MeEWN-I1oV_STSDYn1IFDPWt_1FKiwhDph83XaGc0o0/edit?usp=sharing"",""งบพรบ!AT30"")"),0)</f>
        <v>0</v>
      </c>
      <c r="M96" s="93">
        <f ca="1">IFERROR(__xludf.DUMMYFUNCTION("IMPORTRANGE(""https://docs.google.com/spreadsheets/d/1MeEWN-I1oV_STSDYn1IFDPWt_1FKiwhDph83XaGc0o0/edit?usp=sharing"",""งบพรบ!AW30"")"),0)</f>
        <v>0</v>
      </c>
      <c r="N96" s="93">
        <f ca="1">IFERROR(__xludf.DUMMYFUNCTION("IMPORTRANGE(""https://docs.google.com/spreadsheets/d/1MeEWN-I1oV_STSDYn1IFDPWt_1FKiwhDph83XaGc0o0/edit?usp=sharing"",""งบพรบ!AY30"")"),0)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IFERROR(__xludf.DUMMYFUNCTION("IMPORTRANGE(""https://docs.google.com/spreadsheets/d/1QqKyyYR6Q21VydFLVH3TRQUabQu_ym0Zz7PgGX0-kHA/edit?usp=sharing"",""แผน!K30"")"),60)</f>
        <v>60</v>
      </c>
      <c r="J98" s="270">
        <f>J102</f>
        <v>150</v>
      </c>
      <c r="K98" s="466">
        <f t="shared" ref="K98:K100" ca="1" si="55">IF(I98&gt;0,J98*100/I98,0)</f>
        <v>250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IFERROR(__xludf.DUMMYFUNCTION("IMPORTRANGE(""https://docs.google.com/spreadsheets/d/1QqKyyYR6Q21VydFLVH3TRQUabQu_ym0Zz7PgGX0-kHA/edit?usp=sharing"",""แผน!L30"")"),20)</f>
        <v>20</v>
      </c>
      <c r="J99" s="270">
        <f>J104</f>
        <v>60</v>
      </c>
      <c r="K99" s="466">
        <f t="shared" ca="1" si="55"/>
        <v>300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IFERROR(__xludf.DUMMYFUNCTION("IMPORTRANGE(""https://docs.google.com/spreadsheets/d/1QqKyyYR6Q21VydFLVH3TRQUabQu_ym0Zz7PgGX0-kHA/edit?usp=sharing"",""แผน!M30"")"),2)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IFERROR(__xludf.DUMMYFUNCTION("IMPORTRANGE(""https://docs.google.com/spreadsheets/d/1QqKyyYR6Q21VydFLVH3TRQUabQu_ym0Zz7PgGX0-kHA/edit?usp=sharing"",""แผน!N30"")"),60)</f>
        <v>60</v>
      </c>
      <c r="J102" s="215">
        <v>150</v>
      </c>
      <c r="K102" s="466">
        <f t="shared" ref="K102:K104" ca="1" si="56">IF(I102&gt;0,J102*100/I102,0)</f>
        <v>250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IFERROR(__xludf.DUMMYFUNCTION("IMPORTRANGE(""https://docs.google.com/spreadsheets/d/1QqKyyYR6Q21VydFLVH3TRQUabQu_ym0Zz7PgGX0-kHA/edit?usp=sharing"",""แผน!O30"")"),20)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IFERROR(__xludf.DUMMYFUNCTION("IMPORTRANGE(""https://docs.google.com/spreadsheets/d/1QqKyyYR6Q21VydFLVH3TRQUabQu_ym0Zz7PgGX0-kHA/edit?usp=sharing"",""แผน!O30"")"),20)</f>
        <v>20</v>
      </c>
      <c r="J104" s="215">
        <v>60</v>
      </c>
      <c r="K104" s="466">
        <f t="shared" ca="1" si="56"/>
        <v>300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IFERROR(__xludf.DUMMYFUNCTION("IMPORTRANGE(""https://docs.google.com/spreadsheets/d/1QqKyyYR6Q21VydFLVH3TRQUabQu_ym0Zz7PgGX0-kHA/edit?usp=sharing"",""แผน!P30"")"),1)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IFERROR(__xludf.DUMMYFUNCTION("IMPORTRANGE(""https://docs.google.com/spreadsheets/d/1QqKyyYR6Q21VydFLVH3TRQUabQu_ym0Zz7PgGX0-kHA/edit?usp=sharing"",""แผน!P30"")"),1)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IFERROR(__xludf.DUMMYFUNCTION("IMPORTRANGE(""https://docs.google.com/spreadsheets/d/1QqKyyYR6Q21VydFLVH3TRQUabQu_ym0Zz7PgGX0-kHA/edit?usp=sharing"",""แผน!Q30"")"),1)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IFERROR(__xludf.DUMMYFUNCTION("IMPORTRANGE(""https://docs.google.com/spreadsheets/d/1QqKyyYR6Q21VydFLVH3TRQUabQu_ym0Zz7PgGX0-kHA/edit?usp=sharing"",""แผน!Q30"")"),1)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IFERROR(__xludf.DUMMYFUNCTION("IMPORTRANGE(""https://docs.google.com/spreadsheets/d/1QqKyyYR6Q21VydFLVH3TRQUabQu_ym0Zz7PgGX0-kHA/edit?usp=sharing"",""แผน!R30"")"),20)</f>
        <v>20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IFERROR(__xludf.DUMMYFUNCTION("IMPORTRANGE(""https://docs.google.com/spreadsheets/d/1MeEWN-I1oV_STSDYn1IFDPWt_1FKiwhDph83XaGc0o0/edit?usp=sharing"",""งบพรบ!BA30"")"),0)</f>
        <v>0</v>
      </c>
      <c r="M124" s="93">
        <f ca="1">IFERROR(__xludf.DUMMYFUNCTION("IMPORTRANGE(""https://docs.google.com/spreadsheets/d/1MeEWN-I1oV_STSDYn1IFDPWt_1FKiwhDph83XaGc0o0/edit?usp=sharing"",""งบพรบ!BF30"")"),0)</f>
        <v>0</v>
      </c>
      <c r="N124" s="93">
        <f ca="1">IFERROR(__xludf.DUMMYFUNCTION("IMPORTRANGE(""https://docs.google.com/spreadsheets/d/1MeEWN-I1oV_STSDYn1IFDPWt_1FKiwhDph83XaGc0o0/edit?usp=sharing"",""งบพรบ!BH30"")"),0)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IFERROR(__xludf.DUMMYFUNCTION("IMPORTRANGE(""https://docs.google.com/spreadsheets/d/1MeEWN-I1oV_STSDYn1IFDPWt_1FKiwhDph83XaGc0o0/edit?usp=sharing"",""งบพรบ!BD30"")"),0)</f>
        <v>0</v>
      </c>
      <c r="M127" s="93">
        <f ca="1">IFERROR(__xludf.DUMMYFUNCTION("IMPORTRANGE(""https://docs.google.com/spreadsheets/d/1MeEWN-I1oV_STSDYn1IFDPWt_1FKiwhDph83XaGc0o0/edit?usp=sharing"",""งบพรบ!BG30"")"),0)</f>
        <v>0</v>
      </c>
      <c r="N127" s="93">
        <f ca="1">IFERROR(__xludf.DUMMYFUNCTION("IMPORTRANGE(""https://docs.google.com/spreadsheets/d/1MeEWN-I1oV_STSDYn1IFDPWt_1FKiwhDph83XaGc0o0/edit?usp=sharing"",""งบพรบ!BI30"")"),0)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111095</v>
      </c>
      <c r="O132" s="155">
        <f t="shared" ref="O132:O140" ca="1" si="70">IF(L132&gt;0,N132*100/L132,0)</f>
        <v>73.255085556031787</v>
      </c>
      <c r="P132" s="155">
        <f t="shared" ref="P132:P140" ca="1" si="71">IF(M132&gt;0,N132*100/M132,0)</f>
        <v>83.154940119760482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111095</v>
      </c>
      <c r="O134" s="93">
        <f t="shared" ca="1" si="70"/>
        <v>73.255085556031787</v>
      </c>
      <c r="P134" s="93">
        <f t="shared" ca="1" si="71"/>
        <v>83.154940119760482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48655</v>
      </c>
      <c r="M135" s="466">
        <f t="shared" ca="1" si="73"/>
        <v>30600</v>
      </c>
      <c r="N135" s="466">
        <f t="shared" ca="1" si="73"/>
        <v>8095</v>
      </c>
      <c r="O135" s="466">
        <f t="shared" ca="1" si="70"/>
        <v>16.637550097626143</v>
      </c>
      <c r="P135" s="466">
        <f t="shared" ca="1" si="71"/>
        <v>26.454248366013072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IFERROR(__xludf.DUMMYFUNCTION("IMPORTRANGE(""https://docs.google.com/spreadsheets/d/1MeEWN-I1oV_STSDYn1IFDPWt_1FKiwhDph83XaGc0o0/edit?usp=sharing"",""งบพรบ!BK30"")"),48655)</f>
        <v>48655</v>
      </c>
      <c r="M137" s="93">
        <f ca="1">IFERROR(__xludf.DUMMYFUNCTION("IMPORTRANGE(""https://docs.google.com/spreadsheets/d/1MeEWN-I1oV_STSDYn1IFDPWt_1FKiwhDph83XaGc0o0/edit?usp=sharing"",""งบพรบ!BP30"")"),30600)</f>
        <v>30600</v>
      </c>
      <c r="N137" s="93">
        <f ca="1">IFERROR(__xludf.DUMMYFUNCTION("IMPORTRANGE(""https://docs.google.com/spreadsheets/d/1MeEWN-I1oV_STSDYn1IFDPWt_1FKiwhDph83XaGc0o0/edit?usp=sharing"",""งบพรบ!BR30"")"),8095)</f>
        <v>8095</v>
      </c>
      <c r="O137" s="93">
        <f t="shared" ca="1" si="70"/>
        <v>16.637550097626143</v>
      </c>
      <c r="P137" s="93">
        <f t="shared" ca="1" si="71"/>
        <v>26.454248366013072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IFERROR(__xludf.DUMMYFUNCTION("IMPORTRANGE(""https://docs.google.com/spreadsheets/d/1MeEWN-I1oV_STSDYn1IFDPWt_1FKiwhDph83XaGc0o0/edit?usp=sharing"",""งบพรบ!BN30"")"),103000)</f>
        <v>103000</v>
      </c>
      <c r="M140" s="93">
        <f ca="1">IFERROR(__xludf.DUMMYFUNCTION("IMPORTRANGE(""https://docs.google.com/spreadsheets/d/1MeEWN-I1oV_STSDYn1IFDPWt_1FKiwhDph83XaGc0o0/edit?usp=sharing"",""งบพรบ!BQ30"")"),103000)</f>
        <v>103000</v>
      </c>
      <c r="N140" s="93">
        <f ca="1">IFERROR(__xludf.DUMMYFUNCTION("IMPORTRANGE(""https://docs.google.com/spreadsheets/d/1MeEWN-I1oV_STSDYn1IFDPWt_1FKiwhDph83XaGc0o0/edit?usp=sharing"",""งบพรบ!BS30"")"),103000)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IFERROR(__xludf.DUMMYFUNCTION("IMPORTRANGE(""https://docs.google.com/spreadsheets/d/1QqKyyYR6Q21VydFLVH3TRQUabQu_ym0Zz7PgGX0-kHA/edit?usp=sharing"",""แผน!U30"")"),5)</f>
        <v>5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IFERROR(__xludf.DUMMYFUNCTION("IMPORTRANGE(""https://docs.google.com/spreadsheets/d/1QqKyyYR6Q21VydFLVH3TRQUabQu_ym0Zz7PgGX0-kHA/edit?usp=sharing"",""แผน!V30"")"),10)</f>
        <v>10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IFERROR(__xludf.DUMMYFUNCTION("IMPORTRANGE(""https://docs.google.com/spreadsheets/d/1QqKyyYR6Q21VydFLVH3TRQUabQu_ym0Zz7PgGX0-kHA/edit?usp=sharing"",""แผน!W30"")"),1)</f>
        <v>1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IFERROR(__xludf.DUMMYFUNCTION("IMPORTRANGE(""https://docs.google.com/spreadsheets/d/1MeEWN-I1oV_STSDYn1IFDPWt_1FKiwhDph83XaGc0o0/edit?usp=sharing"",""งบพรบ!BU30"")"),10000)</f>
        <v>10000</v>
      </c>
      <c r="M154" s="93">
        <f ca="1">IFERROR(__xludf.DUMMYFUNCTION("IMPORTRANGE(""https://docs.google.com/spreadsheets/d/1MeEWN-I1oV_STSDYn1IFDPWt_1FKiwhDph83XaGc0o0/edit?usp=sharing"",""งบพรบ!BZ30"")"),10000)</f>
        <v>10000</v>
      </c>
      <c r="N154" s="93">
        <f ca="1">IFERROR(__xludf.DUMMYFUNCTION("IMPORTRANGE(""https://docs.google.com/spreadsheets/d/1MeEWN-I1oV_STSDYn1IFDPWt_1FKiwhDph83XaGc0o0/edit?usp=sharing"",""งบพรบ!CB30"")"),0)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IFERROR(__xludf.DUMMYFUNCTION("IMPORTRANGE(""https://docs.google.com/spreadsheets/d/1MeEWN-I1oV_STSDYn1IFDPWt_1FKiwhDph83XaGc0o0/edit?usp=sharing"",""งบพรบ!BX30"")"),0)</f>
        <v>0</v>
      </c>
      <c r="M157" s="93">
        <f ca="1">IFERROR(__xludf.DUMMYFUNCTION("IMPORTRANGE(""https://docs.google.com/spreadsheets/d/1MeEWN-I1oV_STSDYn1IFDPWt_1FKiwhDph83XaGc0o0/edit?usp=sharing"",""งบพรบ!CA30"")"),0)</f>
        <v>0</v>
      </c>
      <c r="N157" s="93">
        <f ca="1">IFERROR(__xludf.DUMMYFUNCTION("IMPORTRANGE(""https://docs.google.com/spreadsheets/d/1MeEWN-I1oV_STSDYn1IFDPWt_1FKiwhDph83XaGc0o0/edit?usp=sharing"",""งบพรบ!CC30"")"),0)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IFERROR(__xludf.DUMMYFUNCTION("IMPORTRANGE(""https://docs.google.com/spreadsheets/d/1QqKyyYR6Q21VydFLVH3TRQUabQu_ym0Zz7PgGX0-kHA/edit?usp=sharing"",""แผน!X30"")"),20)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19610</v>
      </c>
      <c r="O165" s="155">
        <f t="shared" ref="O165:O173" ca="1" si="85">IF(L165&gt;0,N165*100/L165,0)</f>
        <v>93.159144893111645</v>
      </c>
      <c r="P165" s="155">
        <f t="shared" ref="P165:P173" ca="1" si="86">IF(M165&gt;0,N165*100/M165,0)</f>
        <v>93.159144893111645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19610</v>
      </c>
      <c r="O167" s="93">
        <f t="shared" ca="1" si="85"/>
        <v>93.159144893111645</v>
      </c>
      <c r="P167" s="93">
        <f t="shared" ca="1" si="86"/>
        <v>93.159144893111645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21050</v>
      </c>
      <c r="N168" s="466">
        <f t="shared" ca="1" si="88"/>
        <v>19610</v>
      </c>
      <c r="O168" s="466">
        <f t="shared" ca="1" si="85"/>
        <v>93.159144893111645</v>
      </c>
      <c r="P168" s="466">
        <f t="shared" ca="1" si="86"/>
        <v>93.159144893111645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IFERROR(__xludf.DUMMYFUNCTION("IMPORTRANGE(""https://docs.google.com/spreadsheets/d/1MeEWN-I1oV_STSDYn1IFDPWt_1FKiwhDph83XaGc0o0/edit?usp=sharing"",""งบพรบ!CE30"")"),21050)</f>
        <v>21050</v>
      </c>
      <c r="M170" s="93">
        <f ca="1">IFERROR(__xludf.DUMMYFUNCTION("IMPORTRANGE(""https://docs.google.com/spreadsheets/d/1MeEWN-I1oV_STSDYn1IFDPWt_1FKiwhDph83XaGc0o0/edit?usp=sharing"",""งบพรบ!CJ30"")"),21050)</f>
        <v>21050</v>
      </c>
      <c r="N170" s="93">
        <f ca="1">IFERROR(__xludf.DUMMYFUNCTION("IMPORTRANGE(""https://docs.google.com/spreadsheets/d/1MeEWN-I1oV_STSDYn1IFDPWt_1FKiwhDph83XaGc0o0/edit?usp=sharing"",""งบพรบ!CL30"")"),19610)</f>
        <v>19610</v>
      </c>
      <c r="O170" s="93">
        <f t="shared" ca="1" si="85"/>
        <v>93.159144893111645</v>
      </c>
      <c r="P170" s="93">
        <f t="shared" ca="1" si="86"/>
        <v>93.159144893111645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IFERROR(__xludf.DUMMYFUNCTION("IMPORTRANGE(""https://docs.google.com/spreadsheets/d/1MeEWN-I1oV_STSDYn1IFDPWt_1FKiwhDph83XaGc0o0/edit?usp=sharing"",""งบพรบ!CH30"")"),0)</f>
        <v>0</v>
      </c>
      <c r="M173" s="93">
        <f ca="1">IFERROR(__xludf.DUMMYFUNCTION("IMPORTRANGE(""https://docs.google.com/spreadsheets/d/1MeEWN-I1oV_STSDYn1IFDPWt_1FKiwhDph83XaGc0o0/edit?usp=sharing"",""งบพรบ!CK30"")"),0)</f>
        <v>0</v>
      </c>
      <c r="N173" s="93">
        <f ca="1">IFERROR(__xludf.DUMMYFUNCTION("IMPORTRANGE(""https://docs.google.com/spreadsheets/d/1MeEWN-I1oV_STSDYn1IFDPWt_1FKiwhDph83XaGc0o0/edit?usp=sharing"",""งบพรบ!CM30"")"),0)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IFERROR(__xludf.DUMMYFUNCTION("IMPORTRANGE(""https://docs.google.com/spreadsheets/d/1QqKyyYR6Q21VydFLVH3TRQUabQu_ym0Zz7PgGX0-kHA/edit?usp=sharing"",""แผน!Y30"")"),10)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30000</v>
      </c>
      <c r="N181" s="155">
        <f t="shared" ca="1" si="92"/>
        <v>1180</v>
      </c>
      <c r="O181" s="155">
        <f t="shared" ref="O181:O189" ca="1" si="93">IF(L181&gt;0,N181*100/L181,0)</f>
        <v>1.8582677165354331</v>
      </c>
      <c r="P181" s="155">
        <f t="shared" ref="P181:P189" ca="1" si="94">IF(M181&gt;0,N181*100/M181,0)</f>
        <v>3.9333333333333331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63500</v>
      </c>
      <c r="M183" s="93">
        <f t="shared" ca="1" si="95"/>
        <v>30000</v>
      </c>
      <c r="N183" s="93">
        <f t="shared" ca="1" si="95"/>
        <v>1180</v>
      </c>
      <c r="O183" s="93">
        <f t="shared" ca="1" si="93"/>
        <v>1.8582677165354331</v>
      </c>
      <c r="P183" s="93">
        <f t="shared" ca="1" si="94"/>
        <v>3.9333333333333331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30000</v>
      </c>
      <c r="N184" s="466">
        <f t="shared" ca="1" si="96"/>
        <v>1180</v>
      </c>
      <c r="O184" s="466">
        <f t="shared" ca="1" si="93"/>
        <v>1.8582677165354331</v>
      </c>
      <c r="P184" s="466">
        <f t="shared" ca="1" si="94"/>
        <v>3.9333333333333331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IFERROR(__xludf.DUMMYFUNCTION("IMPORTRANGE(""https://docs.google.com/spreadsheets/d/1MeEWN-I1oV_STSDYn1IFDPWt_1FKiwhDph83XaGc0o0/edit?usp=sharing"",""งบพรบ!CO30"")"),63500)</f>
        <v>63500</v>
      </c>
      <c r="M186" s="93">
        <f ca="1">IFERROR(__xludf.DUMMYFUNCTION("IMPORTRANGE(""https://docs.google.com/spreadsheets/d/1MeEWN-I1oV_STSDYn1IFDPWt_1FKiwhDph83XaGc0o0/edit?usp=sharing"",""งบพรบ!CT30"")"),30000)</f>
        <v>30000</v>
      </c>
      <c r="N186" s="93">
        <f ca="1">IFERROR(__xludf.DUMMYFUNCTION("IMPORTRANGE(""https://docs.google.com/spreadsheets/d/1MeEWN-I1oV_STSDYn1IFDPWt_1FKiwhDph83XaGc0o0/edit?usp=sharing"",""งบพรบ!CV30"")"),1180)</f>
        <v>1180</v>
      </c>
      <c r="O186" s="93">
        <f t="shared" ca="1" si="93"/>
        <v>1.8582677165354331</v>
      </c>
      <c r="P186" s="93">
        <f t="shared" ca="1" si="94"/>
        <v>3.9333333333333331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IFERROR(__xludf.DUMMYFUNCTION("IMPORTRANGE(""https://docs.google.com/spreadsheets/d/1MeEWN-I1oV_STSDYn1IFDPWt_1FKiwhDph83XaGc0o0/edit?usp=sharing"",""งบพรบ!CR30"")"),0)</f>
        <v>0</v>
      </c>
      <c r="M189" s="93">
        <f ca="1">IFERROR(__xludf.DUMMYFUNCTION("IMPORTRANGE(""https://docs.google.com/spreadsheets/d/1MeEWN-I1oV_STSDYn1IFDPWt_1FKiwhDph83XaGc0o0/edit?usp=sharing"",""งบพรบ!CU30"")"),0)</f>
        <v>0</v>
      </c>
      <c r="N189" s="93">
        <f ca="1">IFERROR(__xludf.DUMMYFUNCTION("IMPORTRANGE(""https://docs.google.com/spreadsheets/d/1MeEWN-I1oV_STSDYn1IFDPWt_1FKiwhDph83XaGc0o0/edit?usp=sharing"",""งบพรบ!CW30"")"),0)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IFERROR(__xludf.DUMMYFUNCTION("IMPORTRANGE(""https://docs.google.com/spreadsheets/d/1QqKyyYR6Q21VydFLVH3TRQUabQu_ym0Zz7PgGX0-kHA/edit?usp=sharing"",""แผน!Z30"")"),6000)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IFERROR(__xludf.DUMMYFUNCTION("IMPORTRANGE(""https://docs.google.com/spreadsheets/d/1QqKyyYR6Q21VydFLVH3TRQUabQu_ym0Zz7PgGX0-kHA/edit?usp=sharing"",""แผน!AC30"")"),4)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IFERROR(__xludf.DUMMYFUNCTION("IMPORTRANGE(""https://docs.google.com/spreadsheets/d/1QqKyyYR6Q21VydFLVH3TRQUabQu_ym0Zz7PgGX0-kHA/edit?usp=sharing"",""แผน!AE30"")"),3000)</f>
        <v>3000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IFERROR(__xludf.DUMMYFUNCTION("IMPORTRANGE(""https://docs.google.com/spreadsheets/d/1QqKyyYR6Q21VydFLVH3TRQUabQu_ym0Zz7PgGX0-kHA/edit?usp=sharing"",""แผน!AF30"")"),24000)</f>
        <v>24000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IFERROR(__xludf.DUMMYFUNCTION("IMPORTRANGE(""https://docs.google.com/spreadsheets/d/1QqKyyYR6Q21VydFLVH3TRQUabQu_ym0Zz7PgGX0-kHA/edit?usp=sharing"",""แผน!AG30"")"),12000)</f>
        <v>12000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IFERROR(__xludf.DUMMYFUNCTION("IMPORTRANGE(""https://docs.google.com/spreadsheets/d/1QqKyyYR6Q21VydFLVH3TRQUabQu_ym0Zz7PgGX0-kHA/edit?usp=sharing"",""แผน!AH30"")"),0)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IFERROR(__xludf.DUMMYFUNCTION("IMPORTRANGE(""https://docs.google.com/spreadsheets/d/1QqKyyYR6Q21VydFLVH3TRQUabQu_ym0Zz7PgGX0-kHA/edit?usp=sharing"",""แผน!AI30"")"),3)</f>
        <v>3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IFERROR(__xludf.DUMMYFUNCTION("IMPORTRANGE(""https://docs.google.com/spreadsheets/d/1QqKyyYR6Q21VydFLVH3TRQUabQu_ym0Zz7PgGX0-kHA/edit?usp=sharing"",""แผน!AK30"")"),0)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IFERROR(__xludf.DUMMYFUNCTION("IMPORTRANGE(""https://docs.google.com/spreadsheets/d/1QqKyyYR6Q21VydFLVH3TRQUabQu_ym0Zz7PgGX0-kHA/edit?usp=sharing"",""แผน!AL30"")"),0)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IFERROR(__xludf.DUMMYFUNCTION("IMPORTRANGE(""https://docs.google.com/spreadsheets/d/1QqKyyYR6Q21VydFLVH3TRQUabQu_ym0Zz7PgGX0-kHA/edit?usp=sharing"",""แผน!AM30"")"),0)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IFERROR(__xludf.DUMMYFUNCTION("IMPORTRANGE(""https://docs.google.com/spreadsheets/d/1QqKyyYR6Q21VydFLVH3TRQUabQu_ym0Zz7PgGX0-kHA/edit?usp=sharing"",""แผน!AN30"")"),0)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IFERROR(__xludf.DUMMYFUNCTION("IMPORTRANGE(""https://docs.google.com/spreadsheets/d/1QqKyyYR6Q21VydFLVH3TRQUabQu_ym0Zz7PgGX0-kHA/edit?usp=sharing"",""แผน!AN30"")"),0)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IFERROR(__xludf.DUMMYFUNCTION("IMPORTRANGE(""https://docs.google.com/spreadsheets/d/1QqKyyYR6Q21VydFLVH3TRQUabQu_ym0Zz7PgGX0-kHA/edit?usp=sharing"",""แผน!AP30"")"),5000)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IFERROR(__xludf.DUMMYFUNCTION("IMPORTRANGE(""https://docs.google.com/spreadsheets/d/1QqKyyYR6Q21VydFLVH3TRQUabQu_ym0Zz7PgGX0-kHA/edit?usp=sharing"",""แผน!AQ30"")"),13500)</f>
        <v>13500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IFERROR(__xludf.DUMMYFUNCTION("IMPORTRANGE(""https://docs.google.com/spreadsheets/d/1QqKyyYR6Q21VydFLVH3TRQUabQu_ym0Zz7PgGX0-kHA/edit?usp=sharing"",""แผน!AR30"")"),0)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IFERROR(__xludf.DUMMYFUNCTION("IMPORTRANGE(""https://docs.google.com/spreadsheets/d/1QqKyyYR6Q21VydFLVH3TRQUabQu_ym0Zz7PgGX0-kHA/edit?usp=sharing"",""แผน!AT30"")"),50000)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IFERROR(__xludf.DUMMYFUNCTION("IMPORTRANGE(""https://docs.google.com/spreadsheets/d/1QqKyyYR6Q21VydFLVH3TRQUabQu_ym0Zz7PgGX0-kHA/edit?usp=sharing"",""แผน!AT30"")"),50000)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IFERROR(__xludf.DUMMYFUNCTION("IMPORTRANGE(""https://docs.google.com/spreadsheets/d/1QqKyyYR6Q21VydFLVH3TRQUabQu_ym0Zz7PgGX0-kHA/edit?usp=sharing"",""แผน!AS30"")"),0)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IFERROR(__xludf.DUMMYFUNCTION("IMPORTRANGE(""https://docs.google.com/spreadsheets/d/1QqKyyYR6Q21VydFLVH3TRQUabQu_ym0Zz7PgGX0-kHA/edit?usp=sharing"",""แผน!AV30"")"),0)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IFERROR(__xludf.DUMMYFUNCTION("IMPORTRANGE(""https://docs.google.com/spreadsheets/d/1QqKyyYR6Q21VydFLVH3TRQUabQu_ym0Zz7PgGX0-kHA/edit?usp=sharing"",""แผน!AW30"")"),0)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IFERROR(__xludf.DUMMYFUNCTION("IMPORTRANGE(""https://docs.google.com/spreadsheets/d/1QqKyyYR6Q21VydFLVH3TRQUabQu_ym0Zz7PgGX0-kHA/edit?usp=sharing"",""แผน!AX30"")"),0)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IFERROR(__xludf.DUMMYFUNCTION("IMPORTRANGE(""https://docs.google.com/spreadsheets/d/1QqKyyYR6Q21VydFLVH3TRQUabQu_ym0Zz7PgGX0-kHA/edit?usp=sharing"",""แผน!AY30"")"),0)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IFERROR(__xludf.DUMMYFUNCTION("IMPORTRANGE(""https://docs.google.com/spreadsheets/d/1QqKyyYR6Q21VydFLVH3TRQUabQu_ym0Zz7PgGX0-kHA/edit?usp=sharing"",""แผน!BE30"")"),0)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IFERROR(__xludf.DUMMYFUNCTION("IMPORTRANGE(""https://docs.google.com/spreadsheets/d/1QqKyyYR6Q21VydFLVH3TRQUabQu_ym0Zz7PgGX0-kHA/edit?usp=sharing"",""แผน!BF30"")"),0)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25800</v>
      </c>
      <c r="N264" s="466">
        <f t="shared" ca="1" si="120"/>
        <v>0</v>
      </c>
      <c r="O264" s="466">
        <f t="shared" ca="1" si="117"/>
        <v>0</v>
      </c>
      <c r="P264" s="46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IFERROR(__xludf.DUMMYFUNCTION("IMPORTRANGE(""https://docs.google.com/spreadsheets/d/1MeEWN-I1oV_STSDYn1IFDPWt_1FKiwhDph83XaGc0o0/edit?usp=sharing"",""งบพรบ!CY30"")"),28800)</f>
        <v>28800</v>
      </c>
      <c r="M266" s="93">
        <f ca="1">IFERROR(__xludf.DUMMYFUNCTION("IMPORTRANGE(""https://docs.google.com/spreadsheets/d/1MeEWN-I1oV_STSDYn1IFDPWt_1FKiwhDph83XaGc0o0/edit?usp=sharing"",""งบพรบ!DD30"")"),25800)</f>
        <v>25800</v>
      </c>
      <c r="N266" s="93">
        <f ca="1">IFERROR(__xludf.DUMMYFUNCTION("IMPORTRANGE(""https://docs.google.com/spreadsheets/d/1MeEWN-I1oV_STSDYn1IFDPWt_1FKiwhDph83XaGc0o0/edit?usp=sharing"",""งบพรบ!DF30"")"),0)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IFERROR(__xludf.DUMMYFUNCTION("IMPORTRANGE(""https://docs.google.com/spreadsheets/d/1MeEWN-I1oV_STSDYn1IFDPWt_1FKiwhDph83XaGc0o0/edit?usp=sharing"",""งบพรบ!DB30"")"),0)</f>
        <v>0</v>
      </c>
      <c r="M269" s="93">
        <f ca="1">IFERROR(__xludf.DUMMYFUNCTION("IMPORTRANGE(""https://docs.google.com/spreadsheets/d/1MeEWN-I1oV_STSDYn1IFDPWt_1FKiwhDph83XaGc0o0/edit?usp=sharing"",""งบพรบ!DE30"")"),0)</f>
        <v>0</v>
      </c>
      <c r="N269" s="93">
        <f ca="1">IFERROR(__xludf.DUMMYFUNCTION("IMPORTRANGE(""https://docs.google.com/spreadsheets/d/1MeEWN-I1oV_STSDYn1IFDPWt_1FKiwhDph83XaGc0o0/edit?usp=sharing"",""งบพรบ!DG30"")"),0)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IFERROR(__xludf.DUMMYFUNCTION("IMPORTRANGE(""https://docs.google.com/spreadsheets/d/1QqKyyYR6Q21VydFLVH3TRQUabQu_ym0Zz7PgGX0-kHA/edit?usp=sharing"",""แผน!EA30"")"),24)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200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229340</v>
      </c>
      <c r="M277" s="155">
        <f t="shared" ca="1" si="125"/>
        <v>114370</v>
      </c>
      <c r="N277" s="155">
        <f t="shared" ca="1" si="125"/>
        <v>62098.22</v>
      </c>
      <c r="O277" s="155">
        <f t="shared" ref="O277:O285" ca="1" si="126">IF(L277&gt;0,N277*100/L277,0)</f>
        <v>27.076925089386936</v>
      </c>
      <c r="P277" s="155">
        <f t="shared" ref="P277:P285" ca="1" si="127">IF(M277&gt;0,N277*100/M277,0)</f>
        <v>54.295899274285212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229340</v>
      </c>
      <c r="M279" s="93">
        <f t="shared" ca="1" si="128"/>
        <v>114370</v>
      </c>
      <c r="N279" s="93">
        <f t="shared" ca="1" si="128"/>
        <v>62098.22</v>
      </c>
      <c r="O279" s="93">
        <f t="shared" ca="1" si="126"/>
        <v>27.076925089386936</v>
      </c>
      <c r="P279" s="93">
        <f t="shared" ca="1" si="127"/>
        <v>54.295899274285212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229340</v>
      </c>
      <c r="M280" s="466">
        <f t="shared" ca="1" si="129"/>
        <v>114370</v>
      </c>
      <c r="N280" s="466">
        <f t="shared" ca="1" si="129"/>
        <v>62098.22</v>
      </c>
      <c r="O280" s="466">
        <f t="shared" ca="1" si="126"/>
        <v>27.076925089386936</v>
      </c>
      <c r="P280" s="466">
        <f t="shared" ca="1" si="127"/>
        <v>54.295899274285212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IFERROR(__xludf.DUMMYFUNCTION("IMPORTRANGE(""https://docs.google.com/spreadsheets/d/1MeEWN-I1oV_STSDYn1IFDPWt_1FKiwhDph83XaGc0o0/edit?usp=sharing"",""งบพรบ!DI30"")"),229340)</f>
        <v>229340</v>
      </c>
      <c r="M282" s="93">
        <f ca="1">IFERROR(__xludf.DUMMYFUNCTION("IMPORTRANGE(""https://docs.google.com/spreadsheets/d/1MeEWN-I1oV_STSDYn1IFDPWt_1FKiwhDph83XaGc0o0/edit?usp=sharing"",""งบพรบ!DN30"")"),114370)</f>
        <v>114370</v>
      </c>
      <c r="N282" s="93">
        <f ca="1">IFERROR(__xludf.DUMMYFUNCTION("IMPORTRANGE(""https://docs.google.com/spreadsheets/d/1MeEWN-I1oV_STSDYn1IFDPWt_1FKiwhDph83XaGc0o0/edit?usp=sharing"",""งบพรบ!DP30"")"),62098.22)</f>
        <v>62098.22</v>
      </c>
      <c r="O282" s="93">
        <f t="shared" ca="1" si="126"/>
        <v>27.076925089386936</v>
      </c>
      <c r="P282" s="93">
        <f t="shared" ca="1" si="127"/>
        <v>54.295899274285212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IFERROR(__xludf.DUMMYFUNCTION("IMPORTRANGE(""https://docs.google.com/spreadsheets/d/1MeEWN-I1oV_STSDYn1IFDPWt_1FKiwhDph83XaGc0o0/edit?usp=sharing"",""งบพรบ!DL30"")"),0)</f>
        <v>0</v>
      </c>
      <c r="M285" s="93">
        <f ca="1">IFERROR(__xludf.DUMMYFUNCTION("IMPORTRANGE(""https://docs.google.com/spreadsheets/d/1MeEWN-I1oV_STSDYn1IFDPWt_1FKiwhDph83XaGc0o0/edit?usp=sharing"",""งบพรบ!DO30"")"),0)</f>
        <v>0</v>
      </c>
      <c r="N285" s="93">
        <f ca="1">IFERROR(__xludf.DUMMYFUNCTION("IMPORTRANGE(""https://docs.google.com/spreadsheets/d/1MeEWN-I1oV_STSDYn1IFDPWt_1FKiwhDph83XaGc0o0/edit?usp=sharing"",""งบพรบ!DQ30"")"),0)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IFERROR(__xludf.DUMMYFUNCTION("IMPORTRANGE(""https://docs.google.com/spreadsheets/d/1QqKyyYR6Q21VydFLVH3TRQUabQu_ym0Zz7PgGX0-kHA/edit?usp=sharing"",""แผน!EC30"")"),200)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IFERROR(__xludf.DUMMYFUNCTION("IMPORTRANGE(""https://docs.google.com/spreadsheets/d/1QqKyyYR6Q21VydFLVH3TRQUabQu_ym0Zz7PgGX0-kHA/edit?usp=sharing"",""แผน!EB30"")"),20)</f>
        <v>20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IFERROR(__xludf.DUMMYFUNCTION("IMPORTRANGE(""https://docs.google.com/spreadsheets/d/1QqKyyYR6Q21VydFLVH3TRQUabQu_ym0Zz7PgGX0-kHA/edit?usp=sharing"",""แผน!EB30"")"),20)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IFERROR(__xludf.DUMMYFUNCTION("IMPORTRANGE(""https://docs.google.com/spreadsheets/d/1QqKyyYR6Q21VydFLVH3TRQUabQu_ym0Zz7PgGX0-kHA/edit?usp=sharing"",""แผน!EB30"")"),20)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IFERROR(__xludf.DUMMYFUNCTION("IMPORTRANGE(""https://docs.google.com/spreadsheets/d/1QqKyyYR6Q21VydFLVH3TRQUabQu_ym0Zz7PgGX0-kHA/edit?usp=sharing"",""แผน!EB30"")"),20)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IFERROR(__xludf.DUMMYFUNCTION("IMPORTRANGE(""https://docs.google.com/spreadsheets/d/1QqKyyYR6Q21VydFLVH3TRQUabQu_ym0Zz7PgGX0-kHA/edit?usp=sharing"",""แผน!EB30"")"),20)</f>
        <v>20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18485</v>
      </c>
      <c r="O298" s="155">
        <f t="shared" ref="O298:O306" ca="1" si="136">IF(L298&gt;0,N298*100/L298,0)</f>
        <v>22.433252427184467</v>
      </c>
      <c r="P298" s="155">
        <f t="shared" ref="P298:P306" ca="1" si="137">IF(M298&gt;0,N298*100/M298,0)</f>
        <v>37.632328990228011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18485</v>
      </c>
      <c r="O300" s="93">
        <f t="shared" ca="1" si="136"/>
        <v>22.433252427184467</v>
      </c>
      <c r="P300" s="93">
        <f t="shared" ca="1" si="137"/>
        <v>37.632328990228011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49120</v>
      </c>
      <c r="N301" s="466">
        <f t="shared" ca="1" si="139"/>
        <v>18485</v>
      </c>
      <c r="O301" s="466">
        <f t="shared" ca="1" si="136"/>
        <v>22.433252427184467</v>
      </c>
      <c r="P301" s="466">
        <f t="shared" ca="1" si="137"/>
        <v>37.632328990228011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IFERROR(__xludf.DUMMYFUNCTION("IMPORTRANGE(""https://docs.google.com/spreadsheets/d/1MeEWN-I1oV_STSDYn1IFDPWt_1FKiwhDph83XaGc0o0/edit?usp=sharing"",""งบพรบ!DS30"")"),82400)</f>
        <v>82400</v>
      </c>
      <c r="M303" s="93">
        <f ca="1">IFERROR(__xludf.DUMMYFUNCTION("IMPORTRANGE(""https://docs.google.com/spreadsheets/d/1MeEWN-I1oV_STSDYn1IFDPWt_1FKiwhDph83XaGc0o0/edit?usp=sharing"",""งบพรบ!DX30"")"),49120)</f>
        <v>49120</v>
      </c>
      <c r="N303" s="93">
        <f ca="1">IFERROR(__xludf.DUMMYFUNCTION("IMPORTRANGE(""https://docs.google.com/spreadsheets/d/1MeEWN-I1oV_STSDYn1IFDPWt_1FKiwhDph83XaGc0o0/edit?usp=sharing"",""งบพรบ!DZ30"")"),18485)</f>
        <v>18485</v>
      </c>
      <c r="O303" s="93">
        <f t="shared" ca="1" si="136"/>
        <v>22.433252427184467</v>
      </c>
      <c r="P303" s="93">
        <f t="shared" ca="1" si="137"/>
        <v>37.632328990228011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IFERROR(__xludf.DUMMYFUNCTION("IMPORTRANGE(""https://docs.google.com/spreadsheets/d/1MeEWN-I1oV_STSDYn1IFDPWt_1FKiwhDph83XaGc0o0/edit?usp=sharing"",""งบพรบ!DV30"")"),0)</f>
        <v>0</v>
      </c>
      <c r="M306" s="93">
        <f ca="1">IFERROR(__xludf.DUMMYFUNCTION("IMPORTRANGE(""https://docs.google.com/spreadsheets/d/1MeEWN-I1oV_STSDYn1IFDPWt_1FKiwhDph83XaGc0o0/edit?usp=sharing"",""งบพรบ!DY30"")"),0)</f>
        <v>0</v>
      </c>
      <c r="N306" s="93">
        <f ca="1">IFERROR(__xludf.DUMMYFUNCTION("IMPORTRANGE(""https://docs.google.com/spreadsheets/d/1MeEWN-I1oV_STSDYn1IFDPWt_1FKiwhDph83XaGc0o0/edit?usp=sharing"",""งบพรบ!EA30"")"),0)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IFERROR(__xludf.DUMMYFUNCTION("IMPORTRANGE(""https://docs.google.com/spreadsheets/d/1QqKyyYR6Q21VydFLVH3TRQUabQu_ym0Zz7PgGX0-kHA/edit?usp=sharing"",""แผน!ED30"")"),20)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IFERROR(__xludf.DUMMYFUNCTION("IMPORTRANGE(""https://docs.google.com/spreadsheets/d/1QqKyyYR6Q21VydFLVH3TRQUabQu_ym0Zz7PgGX0-kHA/edit?usp=sharing"",""แผน!ED30"")"),20)</f>
        <v>20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IFERROR(__xludf.DUMMYFUNCTION("IMPORTRANGE(""https://docs.google.com/spreadsheets/d/1QqKyyYR6Q21VydFLVH3TRQUabQu_ym0Zz7PgGX0-kHA/edit?usp=sharing"",""แผน!ED30"")"),20)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IFERROR(__xludf.DUMMYFUNCTION("IMPORTRANGE(""https://docs.google.com/spreadsheets/d/1QqKyyYR6Q21VydFLVH3TRQUabQu_ym0Zz7PgGX0-kHA/edit?usp=sharing"",""แผน!EE30"")"),4)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153000</v>
      </c>
      <c r="M315" s="155">
        <f t="shared" ca="1" si="143"/>
        <v>76500</v>
      </c>
      <c r="N315" s="155">
        <f t="shared" ca="1" si="143"/>
        <v>47476</v>
      </c>
      <c r="O315" s="155">
        <f t="shared" ref="O315:O323" ca="1" si="144">IF(L315&gt;0,N315*100/L315,0)</f>
        <v>31.030065359477124</v>
      </c>
      <c r="P315" s="155">
        <f t="shared" ref="P315:P323" ca="1" si="145">IF(M315&gt;0,N315*100/M315,0)</f>
        <v>62.060130718954248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153000</v>
      </c>
      <c r="M317" s="93">
        <f t="shared" ca="1" si="146"/>
        <v>76500</v>
      </c>
      <c r="N317" s="93">
        <f t="shared" ca="1" si="146"/>
        <v>47476</v>
      </c>
      <c r="O317" s="93">
        <f t="shared" ca="1" si="144"/>
        <v>31.030065359477124</v>
      </c>
      <c r="P317" s="93">
        <f t="shared" ca="1" si="145"/>
        <v>62.060130718954248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153000</v>
      </c>
      <c r="M318" s="466">
        <f t="shared" ca="1" si="147"/>
        <v>76500</v>
      </c>
      <c r="N318" s="466">
        <f t="shared" ca="1" si="147"/>
        <v>47476</v>
      </c>
      <c r="O318" s="466">
        <f t="shared" ca="1" si="144"/>
        <v>31.030065359477124</v>
      </c>
      <c r="P318" s="466">
        <f t="shared" ca="1" si="145"/>
        <v>62.060130718954248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IFERROR(__xludf.DUMMYFUNCTION("IMPORTRANGE(""https://docs.google.com/spreadsheets/d/1MeEWN-I1oV_STSDYn1IFDPWt_1FKiwhDph83XaGc0o0/edit?usp=sharing"",""งบพรบ!EC30"")"),153000)</f>
        <v>153000</v>
      </c>
      <c r="M320" s="93">
        <f ca="1">IFERROR(__xludf.DUMMYFUNCTION("IMPORTRANGE(""https://docs.google.com/spreadsheets/d/1MeEWN-I1oV_STSDYn1IFDPWt_1FKiwhDph83XaGc0o0/edit?usp=sharing"",""งบพรบ!EH30"")"),76500)</f>
        <v>76500</v>
      </c>
      <c r="N320" s="93">
        <f ca="1">IFERROR(__xludf.DUMMYFUNCTION("IMPORTRANGE(""https://docs.google.com/spreadsheets/d/1MeEWN-I1oV_STSDYn1IFDPWt_1FKiwhDph83XaGc0o0/edit?usp=sharing"",""งบพรบ!EJ30"")"),47476)</f>
        <v>47476</v>
      </c>
      <c r="O320" s="93">
        <f t="shared" ca="1" si="144"/>
        <v>31.030065359477124</v>
      </c>
      <c r="P320" s="93">
        <f t="shared" ca="1" si="145"/>
        <v>62.060130718954248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IFERROR(__xludf.DUMMYFUNCTION("IMPORTRANGE(""https://docs.google.com/spreadsheets/d/1MeEWN-I1oV_STSDYn1IFDPWt_1FKiwhDph83XaGc0o0/edit?usp=sharing"",""งบพรบ!EF30"")"),0)</f>
        <v>0</v>
      </c>
      <c r="M323" s="93">
        <f ca="1">IFERROR(__xludf.DUMMYFUNCTION("IMPORTRANGE(""https://docs.google.com/spreadsheets/d/1MeEWN-I1oV_STSDYn1IFDPWt_1FKiwhDph83XaGc0o0/edit?usp=sharing"",""งบพรบ!EI30"")"),0)</f>
        <v>0</v>
      </c>
      <c r="N323" s="93">
        <f ca="1">IFERROR(__xludf.DUMMYFUNCTION("IMPORTRANGE(""https://docs.google.com/spreadsheets/d/1MeEWN-I1oV_STSDYn1IFDPWt_1FKiwhDph83XaGc0o0/edit?usp=sharing"",""งบพรบ!EK30"")"),0)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IFERROR(__xludf.DUMMYFUNCTION("IMPORTRANGE(""https://docs.google.com/spreadsheets/d/1QqKyyYR6Q21VydFLVH3TRQUabQu_ym0Zz7PgGX0-kHA/edit?usp=sharing"",""แผน!EF30"")"),1)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IFERROR(__xludf.DUMMYFUNCTION("IMPORTRANGE(""https://docs.google.com/spreadsheets/d/1QqKyyYR6Q21VydFLVH3TRQUabQu_ym0Zz7PgGX0-kHA/edit?usp=sharing"",""แผน!EG30"")"),2500)</f>
        <v>2500</v>
      </c>
      <c r="J327" s="413">
        <f ca="1">J338+J341+J342+J343</f>
        <v>3500</v>
      </c>
      <c r="K327" s="414">
        <f ca="1">IF(I327&gt;0,J327*100/I327,0)</f>
        <v>140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85000</v>
      </c>
      <c r="N328" s="155">
        <f t="shared" ca="1" si="149"/>
        <v>46046</v>
      </c>
      <c r="O328" s="155">
        <f t="shared" ref="O328:O336" ca="1" si="150">IF(L328&gt;0,N328*100/L328,0)</f>
        <v>27.085882352941177</v>
      </c>
      <c r="P328" s="155">
        <f t="shared" ref="P328:P336" ca="1" si="151">IF(M328&gt;0,N328*100/M328,0)</f>
        <v>54.171764705882353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170000</v>
      </c>
      <c r="M330" s="93">
        <f t="shared" ca="1" si="152"/>
        <v>85000</v>
      </c>
      <c r="N330" s="93">
        <f t="shared" ca="1" si="152"/>
        <v>46046</v>
      </c>
      <c r="O330" s="93">
        <f t="shared" ca="1" si="150"/>
        <v>27.085882352941177</v>
      </c>
      <c r="P330" s="93">
        <f t="shared" ca="1" si="151"/>
        <v>54.171764705882353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85000</v>
      </c>
      <c r="N331" s="466">
        <f t="shared" ca="1" si="153"/>
        <v>46046</v>
      </c>
      <c r="O331" s="466">
        <f t="shared" ca="1" si="150"/>
        <v>27.085882352941177</v>
      </c>
      <c r="P331" s="466">
        <f t="shared" ca="1" si="151"/>
        <v>54.171764705882353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IFERROR(__xludf.DUMMYFUNCTION("IMPORTRANGE(""https://docs.google.com/spreadsheets/d/1MeEWN-I1oV_STSDYn1IFDPWt_1FKiwhDph83XaGc0o0/edit?usp=sharing"",""งบพรบ!EM30"")"),170000)</f>
        <v>170000</v>
      </c>
      <c r="M333" s="93">
        <f ca="1">IFERROR(__xludf.DUMMYFUNCTION("IMPORTRANGE(""https://docs.google.com/spreadsheets/d/1MeEWN-I1oV_STSDYn1IFDPWt_1FKiwhDph83XaGc0o0/edit?usp=sharing"",""งบพรบ!ER30"")"),85000)</f>
        <v>85000</v>
      </c>
      <c r="N333" s="93">
        <f ca="1">IFERROR(__xludf.DUMMYFUNCTION("IMPORTRANGE(""https://docs.google.com/spreadsheets/d/1MeEWN-I1oV_STSDYn1IFDPWt_1FKiwhDph83XaGc0o0/edit?usp=sharing"",""งบพรบ!ET30"")"),46046)</f>
        <v>46046</v>
      </c>
      <c r="O333" s="93">
        <f t="shared" ca="1" si="150"/>
        <v>27.085882352941177</v>
      </c>
      <c r="P333" s="93">
        <f t="shared" ca="1" si="151"/>
        <v>54.171764705882353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IFERROR(__xludf.DUMMYFUNCTION("IMPORTRANGE(""https://docs.google.com/spreadsheets/d/1MeEWN-I1oV_STSDYn1IFDPWt_1FKiwhDph83XaGc0o0/edit?usp=sharing"",""งบพรบ!EP30"")"),0)</f>
        <v>0</v>
      </c>
      <c r="M336" s="93">
        <f ca="1">IFERROR(__xludf.DUMMYFUNCTION("IMPORTRANGE(""https://docs.google.com/spreadsheets/d/1MeEWN-I1oV_STSDYn1IFDPWt_1FKiwhDph83XaGc0o0/edit?usp=sharing"",""งบพรบ!ES30"")"),0)</f>
        <v>0</v>
      </c>
      <c r="N336" s="93">
        <f ca="1">IFERROR(__xludf.DUMMYFUNCTION("IMPORTRANGE(""https://docs.google.com/spreadsheets/d/1MeEWN-I1oV_STSDYn1IFDPWt_1FKiwhDph83XaGc0o0/edit?usp=sharing"",""งบพรบ!EU30"")"),0)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IFERROR(__xludf.DUMMYFUNCTION("IMPORTRANGE(""https://docs.google.com/spreadsheets/d/1QqKyyYR6Q21VydFLVH3TRQUabQu_ym0Zz7PgGX0-kHA/edit?usp=sharing"",""แผน!EG30"")"),2500)</f>
        <v>2500</v>
      </c>
      <c r="J338" s="270">
        <f ca="1">IFERROR(__xludf.DUMMYFUNCTION("IMPORTRANGE(""https://docs.google.com/spreadsheets/d/1kVcqe37tkHyjCSG3S0O1AXqVkqjo8mSIZil3BcpIysc/edit?usp=sharing"",""ศูนย์!D30"")"),3242)</f>
        <v>3242</v>
      </c>
      <c r="K338" s="466">
        <f ca="1">IF(I338&gt;0,J338*100/I338,0)</f>
        <v>129.68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IFERROR(__xludf.DUMMYFUNCTION("IMPORTRANGE(""https://docs.google.com/spreadsheets/d/1QqKyyYR6Q21VydFLVH3TRQUabQu_ym0Zz7PgGX0-kHA/edit?usp=sharing"",""แผน!EH30"")"),6)</f>
        <v>6</v>
      </c>
      <c r="J340" s="270">
        <f ca="1">IFERROR(__xludf.DUMMYFUNCTION("IMPORTRANGE(""https://docs.google.com/spreadsheets/d/1kVcqe37tkHyjCSG3S0O1AXqVkqjo8mSIZil3BcpIysc/edit?usp=sharing"",""ศูนย์!E30"")"),2)</f>
        <v>2</v>
      </c>
      <c r="K340" s="466">
        <f ca="1">IF(I340&gt;0,J340*100/I340,0)</f>
        <v>33.333333333333336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IFERROR(__xludf.DUMMYFUNCTION("IMPORTRANGE(""https://docs.google.com/spreadsheets/d/1kVcqe37tkHyjCSG3S0O1AXqVkqjo8mSIZil3BcpIysc/edit?usp=sharing"",""ศูนย์!F30"")"),258)</f>
        <v>258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668820</v>
      </c>
      <c r="M345" s="155">
        <f t="shared" ca="1" si="155"/>
        <v>440060</v>
      </c>
      <c r="N345" s="155">
        <f t="shared" ca="1" si="155"/>
        <v>229729</v>
      </c>
      <c r="O345" s="155">
        <f t="shared" ref="O345:O353" ca="1" si="156">IF(L345&gt;0,N345*100/L345,0)</f>
        <v>34.348404652970906</v>
      </c>
      <c r="P345" s="155">
        <f t="shared" ref="P345:P353" ca="1" si="157">IF(M345&gt;0,N345*100/M345,0)</f>
        <v>52.204017633959005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668820</v>
      </c>
      <c r="M347" s="93">
        <f t="shared" ca="1" si="158"/>
        <v>440060</v>
      </c>
      <c r="N347" s="93">
        <f t="shared" ca="1" si="158"/>
        <v>229729</v>
      </c>
      <c r="O347" s="93">
        <f t="shared" ca="1" si="156"/>
        <v>34.348404652970906</v>
      </c>
      <c r="P347" s="93">
        <f t="shared" ca="1" si="157"/>
        <v>52.204017633959005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617520</v>
      </c>
      <c r="M348" s="466">
        <f t="shared" ca="1" si="159"/>
        <v>388760</v>
      </c>
      <c r="N348" s="466">
        <f t="shared" ca="1" si="159"/>
        <v>178429</v>
      </c>
      <c r="O348" s="466">
        <f t="shared" ca="1" si="156"/>
        <v>28.894448762793107</v>
      </c>
      <c r="P348" s="466">
        <f t="shared" ca="1" si="157"/>
        <v>45.896954419178925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IFERROR(__xludf.DUMMYFUNCTION("IMPORTRANGE(""https://docs.google.com/spreadsheets/d/1MeEWN-I1oV_STSDYn1IFDPWt_1FKiwhDph83XaGc0o0/edit?usp=sharing"",""งบพรบ!EW30"")"),617520)</f>
        <v>617520</v>
      </c>
      <c r="M350" s="93">
        <f ca="1">IFERROR(__xludf.DUMMYFUNCTION("IMPORTRANGE(""https://docs.google.com/spreadsheets/d/1MeEWN-I1oV_STSDYn1IFDPWt_1FKiwhDph83XaGc0o0/edit?usp=sharing"",""งบพรบ!FB30"")"),388760)</f>
        <v>388760</v>
      </c>
      <c r="N350" s="93">
        <f ca="1">IFERROR(__xludf.DUMMYFUNCTION("IMPORTRANGE(""https://docs.google.com/spreadsheets/d/1MeEWN-I1oV_STSDYn1IFDPWt_1FKiwhDph83XaGc0o0/edit?usp=sharing"",""งบพรบ!FD30"")"),178429)</f>
        <v>178429</v>
      </c>
      <c r="O350" s="93">
        <f t="shared" ca="1" si="156"/>
        <v>28.894448762793107</v>
      </c>
      <c r="P350" s="93">
        <f t="shared" ca="1" si="157"/>
        <v>45.896954419178925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51300</v>
      </c>
      <c r="M351" s="466">
        <f t="shared" ca="1" si="160"/>
        <v>51300</v>
      </c>
      <c r="N351" s="466">
        <f t="shared" ca="1" si="160"/>
        <v>51300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IFERROR(__xludf.DUMMYFUNCTION("IMPORTRANGE(""https://docs.google.com/spreadsheets/d/1MeEWN-I1oV_STSDYn1IFDPWt_1FKiwhDph83XaGc0o0/edit?usp=sharing"",""งบพรบ!EZ30"")"),51300)</f>
        <v>51300</v>
      </c>
      <c r="M353" s="93">
        <f ca="1">IFERROR(__xludf.DUMMYFUNCTION("IMPORTRANGE(""https://docs.google.com/spreadsheets/d/1MeEWN-I1oV_STSDYn1IFDPWt_1FKiwhDph83XaGc0o0/edit?usp=sharing"",""งบพรบ!FC30"")"),51300)</f>
        <v>51300</v>
      </c>
      <c r="N353" s="93">
        <f ca="1">IFERROR(__xludf.DUMMYFUNCTION("IMPORTRANGE(""https://docs.google.com/spreadsheets/d/1MeEWN-I1oV_STSDYn1IFDPWt_1FKiwhDph83XaGc0o0/edit?usp=sharing"",""งบพรบ!FE30"")"),51300)</f>
        <v>51300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IFERROR(__xludf.DUMMYFUNCTION("IMPORTRANGE(""https://docs.google.com/spreadsheets/d/1QqKyyYR6Q21VydFLVH3TRQUabQu_ym0Zz7PgGX0-kHA/edit?usp=sharing"",""แผน!EP30"")"),200)</f>
        <v>200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IFERROR(__xludf.DUMMYFUNCTION("IMPORTRANGE(""https://docs.google.com/spreadsheets/d/1XWAQStnk-4SwqDmLtmXYiTMKHgktTP8We1SCoS47DrQ/edit?usp=sharing"",""จัดที่ดิน!W30"")"),55)</f>
        <v>55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IFERROR(__xludf.DUMMYFUNCTION("IMPORTRANGE(""https://docs.google.com/spreadsheets/d/1QqKyyYR6Q21VydFLVH3TRQUabQu_ym0Zz7PgGX0-kHA/edit?usp=sharing"",""แผน!EO30"")"),2000)</f>
        <v>2000</v>
      </c>
      <c r="J359" s="270">
        <f ca="1">IFERROR(__xludf.DUMMYFUNCTION("IMPORTRANGE(""https://docs.google.com/spreadsheets/d/1XWAQStnk-4SwqDmLtmXYiTMKHgktTP8We1SCoS47DrQ/edit?usp=sharing"",""จัดที่ดิน!X30"")"),579.41)</f>
        <v>579.41</v>
      </c>
      <c r="K359" s="466">
        <f t="shared" ca="1" si="161"/>
        <v>28.970500000000001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IFERROR(__xludf.DUMMYFUNCTION("IMPORTRANGE(""https://docs.google.com/spreadsheets/d/1QqKyyYR6Q21VydFLVH3TRQUabQu_ym0Zz7PgGX0-kHA/edit?usp=sharing"",""แผน!EP30"")"),200)</f>
        <v>200</v>
      </c>
      <c r="J360" s="270">
        <f ca="1">IFERROR(__xludf.DUMMYFUNCTION("IMPORTRANGE(""https://docs.google.com/spreadsheets/d/1XWAQStnk-4SwqDmLtmXYiTMKHgktTP8We1SCoS47DrQ/edit?usp=sharing"",""จัดที่ดิน!Y30"")"),0)</f>
        <v>0</v>
      </c>
      <c r="K360" s="466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IFERROR(__xludf.DUMMYFUNCTION("IMPORTRANGE(""https://docs.google.com/spreadsheets/d/1XWAQStnk-4SwqDmLtmXYiTMKHgktTP8We1SCoS47DrQ/edit?usp=sharing"",""จัดที่ดิน!Z30"")"),0)</f>
        <v>0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IFERROR(__xludf.DUMMYFUNCTION("IMPORTRANGE(""https://docs.google.com/spreadsheets/d/1QqKyyYR6Q21VydFLVH3TRQUabQu_ym0Zz7PgGX0-kHA/edit?usp=sharing"",""แผน!EP30"")"),200)</f>
        <v>200</v>
      </c>
      <c r="J362" s="270">
        <f ca="1">IFERROR(__xludf.DUMMYFUNCTION("IMPORTRANGE(""https://docs.google.com/spreadsheets/d/1XWAQStnk-4SwqDmLtmXYiTMKHgktTP8We1SCoS47DrQ/edit?usp=sharing"",""จัดที่ดิน!AA30"")"),0)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IFERROR(__xludf.DUMMYFUNCTION("IMPORTRANGE(""https://docs.google.com/spreadsheets/d/1XWAQStnk-4SwqDmLtmXYiTMKHgktTP8We1SCoS47DrQ/edit?usp=sharing"",""จัดที่ดิน!AB30"")"),0)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450</v>
      </c>
      <c r="J364" s="447">
        <f t="shared" ca="1" si="162"/>
        <v>25</v>
      </c>
      <c r="K364" s="448">
        <f t="shared" ca="1" si="161"/>
        <v>5.5555555555555554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IFERROR(__xludf.DUMMYFUNCTION("IMPORTRANGE(""https://docs.google.com/spreadsheets/d/1QqKyyYR6Q21VydFLVH3TRQUabQu_ym0Zz7PgGX0-kHA/edit?usp=sharing"",""แผน!EJ30"")"),50)</f>
        <v>50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IFERROR(__xludf.DUMMYFUNCTION("IMPORTRANGE(""https://docs.google.com/spreadsheets/d/1XWAQStnk-4SwqDmLtmXYiTMKHgktTP8We1SCoS47DrQ/edit?usp=sharing"",""จัดที่ดิน!E30"")"),13)</f>
        <v>13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IFERROR(__xludf.DUMMYFUNCTION("IMPORTRANGE(""https://docs.google.com/spreadsheets/d/1QqKyyYR6Q21VydFLVH3TRQUabQu_ym0Zz7PgGX0-kHA/edit?usp=sharing"",""แผน!EI30"")"),500)</f>
        <v>500</v>
      </c>
      <c r="J369" s="270">
        <f ca="1">IFERROR(__xludf.DUMMYFUNCTION("IMPORTRANGE(""https://docs.google.com/spreadsheets/d/1XWAQStnk-4SwqDmLtmXYiTMKHgktTP8We1SCoS47DrQ/edit?usp=sharing"",""จัดที่ดิน!F30"")"),58.44)</f>
        <v>58.44</v>
      </c>
      <c r="K369" s="466">
        <f t="shared" ca="1" si="163"/>
        <v>11.688000000000001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IFERROR(__xludf.DUMMYFUNCTION("IMPORTRANGE(""https://docs.google.com/spreadsheets/d/1QqKyyYR6Q21VydFLVH3TRQUabQu_ym0Zz7PgGX0-kHA/edit?usp=sharing"",""แผน!EJ30"")"),50)</f>
        <v>50</v>
      </c>
      <c r="J370" s="270">
        <f ca="1">IFERROR(__xludf.DUMMYFUNCTION("IMPORTRANGE(""https://docs.google.com/spreadsheets/d/1XWAQStnk-4SwqDmLtmXYiTMKHgktTP8We1SCoS47DrQ/edit?usp=sharing"",""จัดที่ดิน!G30"")"),0)</f>
        <v>0</v>
      </c>
      <c r="K370" s="46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IFERROR(__xludf.DUMMYFUNCTION("IMPORTRANGE(""https://docs.google.com/spreadsheets/d/1XWAQStnk-4SwqDmLtmXYiTMKHgktTP8We1SCoS47DrQ/edit?usp=sharing"",""จัดที่ดิน!H30"")"),0)</f>
        <v>0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IFERROR(__xludf.DUMMYFUNCTION("IMPORTRANGE(""https://docs.google.com/spreadsheets/d/1QqKyyYR6Q21VydFLVH3TRQUabQu_ym0Zz7PgGX0-kHA/edit?usp=sharing"",""แผน!EJ30"")"),50)</f>
        <v>50</v>
      </c>
      <c r="J372" s="270">
        <f ca="1">IFERROR(__xludf.DUMMYFUNCTION("IMPORTRANGE(""https://docs.google.com/spreadsheets/d/1XWAQStnk-4SwqDmLtmXYiTMKHgktTP8We1SCoS47DrQ/edit?usp=sharing"",""จัดที่ดิน!I30"")"),0)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IFERROR(__xludf.DUMMYFUNCTION("IMPORTRANGE(""https://docs.google.com/spreadsheets/d/1XWAQStnk-4SwqDmLtmXYiTMKHgktTP8We1SCoS47DrQ/edit?usp=sharing"",""จัดที่ดิน!J30"")"),0)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IFERROR(__xludf.DUMMYFUNCTION("IMPORTRANGE(""https://docs.google.com/spreadsheets/d/1QqKyyYR6Q21VydFLVH3TRQUabQu_ym0Zz7PgGX0-kHA/edit?usp=sharing"",""แผน!EU30"")"),400)</f>
        <v>400</v>
      </c>
      <c r="J374" s="459">
        <f ca="1">J381</f>
        <v>25</v>
      </c>
      <c r="K374" s="460">
        <f t="shared" ca="1" si="163"/>
        <v>6.25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IFERROR(__xludf.DUMMYFUNCTION("IMPORTRANGE(""https://docs.google.com/spreadsheets/d/1XWAQStnk-4SwqDmLtmXYiTMKHgktTP8We1SCoS47DrQ/edit?usp=sharing"",""จัดที่ดิน!AH30"")"),42)</f>
        <v>42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IFERROR(__xludf.DUMMYFUNCTION("IMPORTRANGE(""https://docs.google.com/spreadsheets/d/1QqKyyYR6Q21VydFLVH3TRQUabQu_ym0Zz7PgGX0-kHA/edit?usp=sharing"",""แผน!ET30"")"),1500)</f>
        <v>1500</v>
      </c>
      <c r="J378" s="270">
        <f ca="1">IFERROR(__xludf.DUMMYFUNCTION("IMPORTRANGE(""https://docs.google.com/spreadsheets/d/1XWAQStnk-4SwqDmLtmXYiTMKHgktTP8We1SCoS47DrQ/edit?usp=sharing"",""จัดที่ดิน!AI30"")"),520.97)</f>
        <v>520.97</v>
      </c>
      <c r="K378" s="466">
        <f t="shared" ca="1" si="164"/>
        <v>34.731333333333332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IFERROR(__xludf.DUMMYFUNCTION("IMPORTRANGE(""https://docs.google.com/spreadsheets/d/1QqKyyYR6Q21VydFLVH3TRQUabQu_ym0Zz7PgGX0-kHA/edit?usp=sharing"",""แผน!EU30"")"),400)</f>
        <v>400</v>
      </c>
      <c r="J379" s="270">
        <f ca="1">IFERROR(__xludf.DUMMYFUNCTION("IMPORTRANGE(""https://docs.google.com/spreadsheets/d/1XWAQStnk-4SwqDmLtmXYiTMKHgktTP8We1SCoS47DrQ/edit?usp=sharing"",""จัดที่ดิน!AJ30"")"),25)</f>
        <v>25</v>
      </c>
      <c r="K379" s="466">
        <f t="shared" ca="1" si="164"/>
        <v>6.25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IFERROR(__xludf.DUMMYFUNCTION("IMPORTRANGE(""https://docs.google.com/spreadsheets/d/1XWAQStnk-4SwqDmLtmXYiTMKHgktTP8We1SCoS47DrQ/edit?usp=sharing"",""จัดที่ดิน!AK30"")"),603.96)</f>
        <v>603.96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IFERROR(__xludf.DUMMYFUNCTION("IMPORTRANGE(""https://docs.google.com/spreadsheets/d/1QqKyyYR6Q21VydFLVH3TRQUabQu_ym0Zz7PgGX0-kHA/edit?usp=sharing"",""แผน!EU30"")"),400)</f>
        <v>400</v>
      </c>
      <c r="J381" s="270">
        <f ca="1">IFERROR(__xludf.DUMMYFUNCTION("IMPORTRANGE(""https://docs.google.com/spreadsheets/d/1XWAQStnk-4SwqDmLtmXYiTMKHgktTP8We1SCoS47DrQ/edit?usp=sharing"",""จัดที่ดิน!AL30"")"),25)</f>
        <v>25</v>
      </c>
      <c r="K381" s="466">
        <f t="shared" ca="1" si="164"/>
        <v>6.25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IFERROR(__xludf.DUMMYFUNCTION("IMPORTRANGE(""https://docs.google.com/spreadsheets/d/1XWAQStnk-4SwqDmLtmXYiTMKHgktTP8We1SCoS47DrQ/edit?usp=sharing"",""จัดที่ดิน!AM30"")"),603.96)</f>
        <v>603.96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IFERROR(__xludf.DUMMYFUNCTION("IMPORTRANGE(""https://docs.google.com/spreadsheets/d/1QqKyyYR6Q21VydFLVH3TRQUabQu_ym0Zz7PgGX0-kHA/edit?usp=sharing"",""แผน!EW30"")"),60)</f>
        <v>60</v>
      </c>
      <c r="J385" s="469">
        <f ca="1">IFERROR(__xludf.DUMMYFUNCTION("IMPORTRANGE(""https://docs.google.com/spreadsheets/d/1XWAQStnk-4SwqDmLtmXYiTMKHgktTP8We1SCoS47DrQ/edit?usp=sharing"",""จัดที่ดิน!AP30"")"),0)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IFERROR(__xludf.DUMMYFUNCTION("IMPORTRANGE(""https://docs.google.com/spreadsheets/d/1MeEWN-I1oV_STSDYn1IFDPWt_1FKiwhDph83XaGc0o0/edit?usp=sharing"",""งบพรบ!FG30"")"),0)</f>
        <v>0</v>
      </c>
      <c r="M394" s="93">
        <f ca="1">IFERROR(__xludf.DUMMYFUNCTION("IMPORTRANGE(""https://docs.google.com/spreadsheets/d/1MeEWN-I1oV_STSDYn1IFDPWt_1FKiwhDph83XaGc0o0/edit?usp=sharing"",""งบพรบ!FL30"")"),0)</f>
        <v>0</v>
      </c>
      <c r="N394" s="93">
        <f ca="1">IFERROR(__xludf.DUMMYFUNCTION("IMPORTRANGE(""https://docs.google.com/spreadsheets/d/1MeEWN-I1oV_STSDYn1IFDPWt_1FKiwhDph83XaGc0o0/edit?usp=sharing"",""งบพรบ!FN30"")"),0)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IFERROR(__xludf.DUMMYFUNCTION("IMPORTRANGE(""https://docs.google.com/spreadsheets/d/1MeEWN-I1oV_STSDYn1IFDPWt_1FKiwhDph83XaGc0o0/edit?usp=sharing"",""งบพรบ!FJ30"")"),0)</f>
        <v>0</v>
      </c>
      <c r="M397" s="93">
        <f ca="1">IFERROR(__xludf.DUMMYFUNCTION("IMPORTRANGE(""https://docs.google.com/spreadsheets/d/1MeEWN-I1oV_STSDYn1IFDPWt_1FKiwhDph83XaGc0o0/edit?usp=sharing"",""งบพรบ!FM30"")"),0)</f>
        <v>0</v>
      </c>
      <c r="N397" s="93">
        <f ca="1">IFERROR(__xludf.DUMMYFUNCTION("IMPORTRANGE(""https://docs.google.com/spreadsheets/d/1MeEWN-I1oV_STSDYn1IFDPWt_1FKiwhDph83XaGc0o0/edit?usp=sharing"",""งบพรบ!FO30"")"),0)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IFERROR(__xludf.DUMMYFUNCTION("IMPORTRANGE(""https://docs.google.com/spreadsheets/d/1MeEWN-I1oV_STSDYn1IFDPWt_1FKiwhDph83XaGc0o0/edit?usp=sharing"",""งบพรบ!FQ30"")"),0)</f>
        <v>0</v>
      </c>
      <c r="M407" s="93">
        <f ca="1">IFERROR(__xludf.DUMMYFUNCTION("IMPORTRANGE(""https://docs.google.com/spreadsheets/d/1MeEWN-I1oV_STSDYn1IFDPWt_1FKiwhDph83XaGc0o0/edit?usp=sharing"",""งบพรบ!FV30"")"),0)</f>
        <v>0</v>
      </c>
      <c r="N407" s="93">
        <f ca="1">IFERROR(__xludf.DUMMYFUNCTION("IMPORTRANGE(""https://docs.google.com/spreadsheets/d/1MeEWN-I1oV_STSDYn1IFDPWt_1FKiwhDph83XaGc0o0/edit?usp=sharing"",""งบพรบ!FX30"")"),0)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IFERROR(__xludf.DUMMYFUNCTION("IMPORTRANGE(""https://docs.google.com/spreadsheets/d/1MeEWN-I1oV_STSDYn1IFDPWt_1FKiwhDph83XaGc0o0/edit?usp=sharing"",""งบพรบ!FT30"")"),0)</f>
        <v>0</v>
      </c>
      <c r="M410" s="93">
        <f ca="1">IFERROR(__xludf.DUMMYFUNCTION("IMPORTRANGE(""https://docs.google.com/spreadsheets/d/1MeEWN-I1oV_STSDYn1IFDPWt_1FKiwhDph83XaGc0o0/edit?usp=sharing"",""งบพรบ!FW30"")"),0)</f>
        <v>0</v>
      </c>
      <c r="N410" s="93">
        <f ca="1">IFERROR(__xludf.DUMMYFUNCTION("IMPORTRANGE(""https://docs.google.com/spreadsheets/d/1MeEWN-I1oV_STSDYn1IFDPWt_1FKiwhDph83XaGc0o0/edit?usp=sharing"",""งบพรบ!FY30"")"),0)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2923416</v>
      </c>
      <c r="M414" s="517">
        <f t="shared" si="181"/>
        <v>0</v>
      </c>
      <c r="N414" s="517">
        <f t="shared" si="181"/>
        <v>564406.69999999995</v>
      </c>
      <c r="O414" s="517">
        <f ca="1">IF(L414&gt;0,N414*100/L414,0)</f>
        <v>19.306410719514428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31045</v>
      </c>
      <c r="O419" s="155">
        <f t="shared" ref="O419:O424" ca="1" si="185">IF(L419&gt;0,N419*100/L419,0)</f>
        <v>39.467327739638954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31045</v>
      </c>
      <c r="O421" s="93">
        <f t="shared" ca="1" si="185"/>
        <v>39.467327739638954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31045</v>
      </c>
      <c r="O422" s="466">
        <f t="shared" ca="1" si="185"/>
        <v>39.467327739638954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IFERROR(__xludf.DUMMYFUNCTION("IMPORTRANGE(""https://docs.google.com/spreadsheets/d/1QqKyyYR6Q21VydFLVH3TRQUabQu_ym0Zz7PgGX0-kHA/edit?usp=sharing"",""แผน!EY30"")"),78660)</f>
        <v>78660</v>
      </c>
      <c r="M424" s="93">
        <v>0</v>
      </c>
      <c r="N424" s="93">
        <f>N425+N426+N427+N428</f>
        <v>31045</v>
      </c>
      <c r="O424" s="93">
        <f t="shared" ca="1" si="185"/>
        <v>39.467327739638954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26085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4960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1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IFERROR(__xludf.DUMMYFUNCTION("IMPORTRANGE(""https://docs.google.com/spreadsheets/d/1QqKyyYR6Q21VydFLVH3TRQUabQu_ym0Zz7PgGX0-kHA/edit?usp=sharing"",""แผน!FC30"")"),20)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IFERROR(__xludf.DUMMYFUNCTION("IMPORTRANGE(""https://docs.google.com/spreadsheets/d/1QqKyyYR6Q21VydFLVH3TRQUabQu_ym0Zz7PgGX0-kHA/edit?usp=sharing"",""แผน!FD30"")"),0)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IFERROR(__xludf.DUMMYFUNCTION("IMPORTRANGE(""https://docs.google.com/spreadsheets/d/1QqKyyYR6Q21VydFLVH3TRQUabQu_ym0Zz7PgGX0-kHA/edit?usp=sharing"",""แผน!FE30"")"),0)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IFERROR(__xludf.DUMMYFUNCTION("IMPORTRANGE(""https://docs.google.com/spreadsheets/d/1QqKyyYR6Q21VydFLVH3TRQUabQu_ym0Zz7PgGX0-kHA/edit?usp=sharing"",""แผน!FF30"")"),20)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IFERROR(__xludf.DUMMYFUNCTION("IMPORTRANGE(""https://docs.google.com/spreadsheets/d/1QqKyyYR6Q21VydFLVH3TRQUabQu_ym0Zz7PgGX0-kHA/edit?usp=sharing"",""แผน!FG30"")"),1)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IFERROR(__xludf.DUMMYFUNCTION("IMPORTRANGE(""https://docs.google.com/spreadsheets/d/1QqKyyYR6Q21VydFLVH3TRQUabQu_ym0Zz7PgGX0-kHA/edit?usp=sharing"",""แผน!FH30"")"),0)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60</v>
      </c>
      <c r="J442" s="555">
        <f t="shared" si="195"/>
        <v>60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100</v>
      </c>
      <c r="J443" s="533">
        <f t="shared" si="196"/>
        <v>100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370600</v>
      </c>
      <c r="M444" s="195">
        <f t="shared" si="197"/>
        <v>0</v>
      </c>
      <c r="N444" s="195">
        <f t="shared" si="197"/>
        <v>94095</v>
      </c>
      <c r="O444" s="195">
        <f t="shared" ref="O444:O449" ca="1" si="198">IF(L444&gt;0,N444*100/L444,0)</f>
        <v>25.389908256880734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370600</v>
      </c>
      <c r="M446" s="93">
        <f t="shared" si="200"/>
        <v>0</v>
      </c>
      <c r="N446" s="93">
        <f t="shared" si="200"/>
        <v>94095</v>
      </c>
      <c r="O446" s="93">
        <f t="shared" ca="1" si="198"/>
        <v>25.389908256880734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370600</v>
      </c>
      <c r="M447" s="466">
        <f t="shared" si="201"/>
        <v>0</v>
      </c>
      <c r="N447" s="466">
        <f t="shared" si="201"/>
        <v>94095</v>
      </c>
      <c r="O447" s="466">
        <f t="shared" ca="1" si="198"/>
        <v>25.389908256880734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IFERROR(__xludf.DUMMYFUNCTION("IMPORTRANGE(""https://docs.google.com/spreadsheets/d/1QqKyyYR6Q21VydFLVH3TRQUabQu_ym0Zz7PgGX0-kHA/edit?usp=sharing"",""แผน!FJ30"")"),370600)</f>
        <v>370600</v>
      </c>
      <c r="M449" s="93">
        <v>0</v>
      </c>
      <c r="N449" s="93">
        <f>N450+N451+N452+N453</f>
        <v>94095</v>
      </c>
      <c r="O449" s="93">
        <f t="shared" ca="1" si="198"/>
        <v>25.389908256880734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56095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26000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12000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IFERROR(__xludf.DUMMYFUNCTION("IMPORTRANGE(""https://docs.google.com/spreadsheets/d/1QqKyyYR6Q21VydFLVH3TRQUabQu_ym0Zz7PgGX0-kHA/edit?usp=sharing"",""แผน!FN30"")"),60)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IFERROR(__xludf.DUMMYFUNCTION("IMPORTRANGE(""https://docs.google.com/spreadsheets/d/1QqKyyYR6Q21VydFLVH3TRQUabQu_ym0Zz7PgGX0-kHA/edit?usp=sharing"",""แผน!FO30"")"),100)</f>
        <v>100</v>
      </c>
      <c r="J462" s="215">
        <v>100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IFERROR(__xludf.DUMMYFUNCTION("IMPORTRANGE(""https://docs.google.com/spreadsheets/d/1QqKyyYR6Q21VydFLVH3TRQUabQu_ym0Zz7PgGX0-kHA/edit?usp=sharing"",""แผน!FO30"")"),100)</f>
        <v>100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IFERROR(__xludf.DUMMYFUNCTION("IMPORTRANGE(""https://docs.google.com/spreadsheets/d/1QqKyyYR6Q21VydFLVH3TRQUabQu_ym0Zz7PgGX0-kHA/edit?usp=sharing"",""แผน!FN30"")"),60)</f>
        <v>60</v>
      </c>
      <c r="J464" s="215">
        <v>60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IFERROR(__xludf.DUMMYFUNCTION("IMPORTRANGE(""https://docs.google.com/spreadsheets/d/1QqKyyYR6Q21VydFLVH3TRQUabQu_ym0Zz7PgGX0-kHA/edit?usp=sharing"",""แผน!FX30"")"),131)</f>
        <v>131</v>
      </c>
      <c r="J465" s="555">
        <f>J485+J489+J492</f>
        <v>131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IFERROR(__xludf.DUMMYFUNCTION("IMPORTRANGE(""https://docs.google.com/spreadsheets/d/1QqKyyYR6Q21VydFLVH3TRQUabQu_ym0Zz7PgGX0-kHA/edit?usp=sharing"",""แผน!FW30"")"),1300)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1167048</v>
      </c>
      <c r="M467" s="195">
        <f t="shared" si="206"/>
        <v>0</v>
      </c>
      <c r="N467" s="195">
        <f t="shared" si="206"/>
        <v>196347</v>
      </c>
      <c r="O467" s="195">
        <f t="shared" ref="O467:O472" ca="1" si="207">IF(L467&gt;0,N467*100/L467,0)</f>
        <v>16.824243732905586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1167048</v>
      </c>
      <c r="M469" s="93">
        <f t="shared" si="209"/>
        <v>0</v>
      </c>
      <c r="N469" s="93">
        <f t="shared" si="209"/>
        <v>196347</v>
      </c>
      <c r="O469" s="93">
        <f t="shared" ca="1" si="207"/>
        <v>16.824243732905586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1167048</v>
      </c>
      <c r="M470" s="466">
        <f t="shared" si="210"/>
        <v>0</v>
      </c>
      <c r="N470" s="466">
        <f t="shared" si="210"/>
        <v>196347</v>
      </c>
      <c r="O470" s="466">
        <f t="shared" ca="1" si="207"/>
        <v>16.824243732905586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IFERROR(__xludf.DUMMYFUNCTION("IMPORTRANGE(""https://docs.google.com/spreadsheets/d/1QqKyyYR6Q21VydFLVH3TRQUabQu_ym0Zz7PgGX0-kHA/edit?usp=sharing"",""แผน!FS30"")"),1167048)</f>
        <v>1167048</v>
      </c>
      <c r="M472" s="93">
        <v>0</v>
      </c>
      <c r="N472" s="93">
        <f>N473+N474+N475+N476</f>
        <v>196347</v>
      </c>
      <c r="O472" s="93">
        <f t="shared" ca="1" si="207"/>
        <v>16.824243732905586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148259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26000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22088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IFERROR(__xludf.DUMMYFUNCTION("IMPORTRANGE(""https://docs.google.com/spreadsheets/d/1QqKyyYR6Q21VydFLVH3TRQUabQu_ym0Zz7PgGX0-kHA/edit?usp=sharing"",""แผน!FY30"")"),1170)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IFERROR(__xludf.DUMMYFUNCTION("IMPORTRANGE(""https://docs.google.com/spreadsheets/d/1QqKyyYR6Q21VydFLVH3TRQUabQu_ym0Zz7PgGX0-kHA/edit?usp=sharing"",""แผน!FZ30"")"),117)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IFERROR(__xludf.DUMMYFUNCTION("IMPORTRANGE(""https://docs.google.com/spreadsheets/d/1QqKyyYR6Q21VydFLVH3TRQUabQu_ym0Zz7PgGX0-kHA/edit?usp=sharing"",""แผน!GA30"")"),130)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IFERROR(__xludf.DUMMYFUNCTION("IMPORTRANGE(""https://docs.google.com/spreadsheets/d/1QqKyyYR6Q21VydFLVH3TRQUabQu_ym0Zz7PgGX0-kHA/edit?usp=sharing"",""แผน!GB30"")"),13)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IFERROR(__xludf.DUMMYFUNCTION("IMPORTRANGE(""https://docs.google.com/spreadsheets/d/1QqKyyYR6Q21VydFLVH3TRQUabQu_ym0Zz7PgGX0-kHA/edit?usp=sharing"",""แผน!GC30"")"),1)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IFERROR(__xludf.DUMMYFUNCTION("IMPORTRANGE(""https://docs.google.com/spreadsheets/d/1QqKyyYR6Q21VydFLVH3TRQUabQu_ym0Zz7PgGX0-kHA/edit?usp=sharing"",""แผน!FY30"")"),1170)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IFERROR(__xludf.DUMMYFUNCTION("IMPORTRANGE(""https://docs.google.com/spreadsheets/d/1QqKyyYR6Q21VydFLVH3TRQUabQu_ym0Zz7PgGX0-kHA/edit?usp=sharing"",""แผน!GA30"")"),130)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80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652760</v>
      </c>
      <c r="M523" s="195">
        <f t="shared" si="226"/>
        <v>0</v>
      </c>
      <c r="N523" s="195">
        <f t="shared" si="226"/>
        <v>125595</v>
      </c>
      <c r="O523" s="195">
        <f t="shared" ref="O523:O528" ca="1" si="227">IF(L523&gt;0,N523*100/L523,0)</f>
        <v>19.240609105950121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652760</v>
      </c>
      <c r="M525" s="93">
        <f t="shared" si="229"/>
        <v>0</v>
      </c>
      <c r="N525" s="93">
        <f t="shared" si="229"/>
        <v>125595</v>
      </c>
      <c r="O525" s="93">
        <f t="shared" ca="1" si="227"/>
        <v>19.240609105950121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652760</v>
      </c>
      <c r="M526" s="466">
        <f t="shared" si="230"/>
        <v>0</v>
      </c>
      <c r="N526" s="466">
        <f t="shared" si="230"/>
        <v>125595</v>
      </c>
      <c r="O526" s="466">
        <f t="shared" ca="1" si="227"/>
        <v>19.240609105950121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IFERROR(__xludf.DUMMYFUNCTION("IMPORTRANGE(""https://docs.google.com/spreadsheets/d/1QqKyyYR6Q21VydFLVH3TRQUabQu_ym0Zz7PgGX0-kHA/edit?usp=sharing"",""แผน!GQ30"")"),652760)</f>
        <v>652760</v>
      </c>
      <c r="M528" s="93">
        <v>0</v>
      </c>
      <c r="N528" s="93">
        <f>N529+N530+N531+N532</f>
        <v>125595</v>
      </c>
      <c r="O528" s="93">
        <f t="shared" ca="1" si="227"/>
        <v>19.240609105950121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125595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IFERROR(__xludf.DUMMYFUNCTION("IMPORTRANGE(""https://docs.google.com/spreadsheets/d/1QqKyyYR6Q21VydFLVH3TRQUabQu_ym0Zz7PgGX0-kHA/edit?usp=sharing"",""แผน!GU30"")"),80)</f>
        <v>80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IFERROR(__xludf.DUMMYFUNCTION("IMPORTRANGE(""https://docs.google.com/spreadsheets/d/1QqKyyYR6Q21VydFLVH3TRQUabQu_ym0Zz7PgGX0-kHA/edit?usp=sharing"",""แผน!GV30"")"),80)</f>
        <v>80</v>
      </c>
      <c r="J538" s="215">
        <v>40</v>
      </c>
      <c r="K538" s="466">
        <f t="shared" ca="1" si="234"/>
        <v>50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IFERROR(__xludf.DUMMYFUNCTION("IMPORTRANGE(""https://docs.google.com/spreadsheets/d/1QqKyyYR6Q21VydFLVH3TRQUabQu_ym0Zz7PgGX0-kHA/edit?usp=sharing"",""แผน!GW30"")"),0)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IFERROR(__xludf.DUMMYFUNCTION("IMPORTRANGE(""https://docs.google.com/spreadsheets/d/1QqKyyYR6Q21VydFLVH3TRQUabQu_ym0Zz7PgGX0-kHA/edit?usp=sharing"",""แผน!GX30"")"),0)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IFERROR(__xludf.DUMMYFUNCTION("IMPORTRANGE(""https://docs.google.com/spreadsheets/d/1QqKyyYR6Q21VydFLVH3TRQUabQu_ym0Zz7PgGX0-kHA/edit?usp=sharing"",""แผน!GY30"")"),80)</f>
        <v>80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IFERROR(__xludf.DUMMYFUNCTION("IMPORTRANGE(""https://docs.google.com/spreadsheets/d/1QqKyyYR6Q21VydFLVH3TRQUabQu_ym0Zz7PgGX0-kHA/edit?usp=sharing"",""แผน!GZ30"")"),80)</f>
        <v>80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53985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429538</v>
      </c>
      <c r="M544" s="155">
        <f t="shared" si="236"/>
        <v>0</v>
      </c>
      <c r="N544" s="155">
        <f t="shared" si="236"/>
        <v>105625</v>
      </c>
      <c r="O544" s="155">
        <f t="shared" ref="O544:O549" ca="1" si="237">IF(L544&gt;0,N544*100/L544,0)</f>
        <v>24.590373843524905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429538</v>
      </c>
      <c r="M546" s="93">
        <f t="shared" si="240"/>
        <v>0</v>
      </c>
      <c r="N546" s="93">
        <f t="shared" si="240"/>
        <v>105625</v>
      </c>
      <c r="O546" s="93">
        <f t="shared" ca="1" si="237"/>
        <v>24.590373843524905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429538</v>
      </c>
      <c r="M547" s="466">
        <f t="shared" si="241"/>
        <v>0</v>
      </c>
      <c r="N547" s="466">
        <f t="shared" si="241"/>
        <v>105625</v>
      </c>
      <c r="O547" s="466">
        <f t="shared" ca="1" si="237"/>
        <v>24.590373843524905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IFERROR(__xludf.DUMMYFUNCTION("IMPORTRANGE(""https://docs.google.com/spreadsheets/d/1QqKyyYR6Q21VydFLVH3TRQUabQu_ym0Zz7PgGX0-kHA/edit?usp=sharing"",""แผน!HB30"")"),429538)</f>
        <v>429538</v>
      </c>
      <c r="M549" s="93">
        <v>0</v>
      </c>
      <c r="N549" s="93">
        <f>N550+N551+N552+N553+N554</f>
        <v>105625</v>
      </c>
      <c r="O549" s="93">
        <f t="shared" ca="1" si="237"/>
        <v>24.590373843524905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25580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80045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53985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IFERROR(__xludf.DUMMYFUNCTION("IMPORTRANGE(""https://docs.google.com/spreadsheets/d/1QqKyyYR6Q21VydFLVH3TRQUabQu_ym0Zz7PgGX0-kHA/edit?usp=sharing"",""แผน!HH30"")"),53985)</f>
        <v>53985</v>
      </c>
      <c r="J560" s="193">
        <f t="shared" ref="J560:J561" si="247">J562+J564+J566</f>
        <v>39078</v>
      </c>
      <c r="K560" s="380">
        <f t="shared" ca="1" si="246"/>
        <v>72.386774103917759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IFERROR(__xludf.DUMMYFUNCTION("IMPORTRANGE(""https://docs.google.com/spreadsheets/d/1QqKyyYR6Q21VydFLVH3TRQUabQu_ym0Zz7PgGX0-kHA/edit?usp=sharing"",""แผน!HG30"")"),4693)</f>
        <v>4693</v>
      </c>
      <c r="J561" s="193">
        <f t="shared" si="247"/>
        <v>3286</v>
      </c>
      <c r="K561" s="380">
        <f t="shared" ca="1" si="246"/>
        <v>70.019177498401874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35070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2970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3953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300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55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16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IFERROR(__xludf.DUMMYFUNCTION("IMPORTRANGE(""https://docs.google.com/spreadsheets/d/1QqKyyYR6Q21VydFLVH3TRQUabQu_ym0Zz7PgGX0-kHA/edit?usp=sharing"",""แผน!HH30"")"),53985)</f>
        <v>53985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IFERROR(__xludf.DUMMYFUNCTION("IMPORTRANGE(""https://docs.google.com/spreadsheets/d/1QqKyyYR6Q21VydFLVH3TRQUabQu_ym0Zz7PgGX0-kHA/edit?usp=sharing"",""แผน!HG30"")"),4693)</f>
        <v>4693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IFERROR(__xludf.DUMMYFUNCTION("IMPORTRANGE(""https://docs.google.com/spreadsheets/d/1QqKyyYR6Q21VydFLVH3TRQUabQu_ym0Zz7PgGX0-kHA/edit?usp=sharing"",""แผน!HH30"")"),53985)</f>
        <v>53985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IFERROR(__xludf.DUMMYFUNCTION("IMPORTRANGE(""https://docs.google.com/spreadsheets/d/1QqKyyYR6Q21VydFLVH3TRQUabQu_ym0Zz7PgGX0-kHA/edit?usp=sharing"",""แผน!HG30"")"),4693)</f>
        <v>4693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5127</v>
      </c>
      <c r="J592" s="672">
        <f t="shared" si="253"/>
        <v>304</v>
      </c>
      <c r="K592" s="643">
        <f t="shared" ref="K592:K594" ca="1" si="254">IF(I592&gt;0,J592*100/I592,0)</f>
        <v>5.9293934074507506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IFERROR(__xludf.DUMMYFUNCTION("IMPORTRANGE(""https://docs.google.com/spreadsheets/d/1QqKyyYR6Q21VydFLVH3TRQUabQu_ym0Zz7PgGX0-kHA/edit?usp=sharing"",""แผน!HJ30"")"),5127)</f>
        <v>5127</v>
      </c>
      <c r="J593" s="193">
        <f t="shared" ref="J593:J594" si="255">J595+J603+J609</f>
        <v>304</v>
      </c>
      <c r="K593" s="380">
        <f t="shared" ca="1" si="254"/>
        <v>5.9293934074507506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IFERROR(__xludf.DUMMYFUNCTION("IMPORTRANGE(""https://docs.google.com/spreadsheets/d/1QqKyyYR6Q21VydFLVH3TRQUabQu_ym0Zz7PgGX0-kHA/edit?usp=sharing"",""แผน!HI30"")"),358)</f>
        <v>358</v>
      </c>
      <c r="J594" s="193">
        <f t="shared" si="255"/>
        <v>13</v>
      </c>
      <c r="K594" s="380">
        <f t="shared" ca="1" si="254"/>
        <v>3.6312849162011172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262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11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262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11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42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24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18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IFERROR(__xludf.DUMMYFUNCTION("IMPORTRANGE(""https://docs.google.com/spreadsheets/d/1QqKyyYR6Q21VydFLVH3TRQUabQu_ym0Zz7PgGX0-kHA/edit?usp=sharing"",""แผน!HL30"")"),0)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IFERROR(__xludf.DUMMYFUNCTION("IMPORTRANGE(""https://docs.google.com/spreadsheets/d/1QqKyyYR6Q21VydFLVH3TRQUabQu_ym0Zz7PgGX0-kHA/edit?usp=sharing"",""แผน!HK30"")"),0)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45</v>
      </c>
      <c r="J628" s="705">
        <f t="shared" ca="1" si="262"/>
        <v>3</v>
      </c>
      <c r="K628" s="706">
        <f ca="1">IF(I628&gt;0,J628*100/I628,0)</f>
        <v>6.666666666666667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171750</v>
      </c>
      <c r="M629" s="195">
        <f t="shared" si="263"/>
        <v>0</v>
      </c>
      <c r="N629" s="195">
        <f t="shared" si="263"/>
        <v>7179.7</v>
      </c>
      <c r="O629" s="195">
        <f t="shared" ref="O629:O634" ca="1" si="264">IF(L629&gt;0,N629*100/L629,0)</f>
        <v>4.1803202328966522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171750</v>
      </c>
      <c r="M631" s="93">
        <f t="shared" si="266"/>
        <v>0</v>
      </c>
      <c r="N631" s="93">
        <f t="shared" si="266"/>
        <v>7179.7</v>
      </c>
      <c r="O631" s="93">
        <f t="shared" ca="1" si="264"/>
        <v>4.1803202328966522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171750</v>
      </c>
      <c r="M632" s="466">
        <f t="shared" si="267"/>
        <v>0</v>
      </c>
      <c r="N632" s="466">
        <f t="shared" si="267"/>
        <v>7179.7</v>
      </c>
      <c r="O632" s="466">
        <f t="shared" ca="1" si="264"/>
        <v>4.1803202328966522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IFERROR(__xludf.DUMMYFUNCTION("IMPORTRANGE(""https://docs.google.com/spreadsheets/d/1QqKyyYR6Q21VydFLVH3TRQUabQu_ym0Zz7PgGX0-kHA/edit?usp=sharing"",""แผน!HN30"")"),171750)</f>
        <v>171750</v>
      </c>
      <c r="M634" s="93">
        <v>0</v>
      </c>
      <c r="N634" s="93">
        <f>N635+N636+N637+N638</f>
        <v>7179.7</v>
      </c>
      <c r="O634" s="93">
        <f t="shared" ca="1" si="264"/>
        <v>4.1803202328966522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7179.7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IFERROR(__xludf.DUMMYFUNCTION("IMPORTRANGE(""https://docs.google.com/spreadsheets/d/1QqKyyYR6Q21VydFLVH3TRQUabQu_ym0Zz7PgGX0-kHA/edit?usp=sharing"",""แผน!HR30"")"),0)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IFERROR(__xludf.DUMMYFUNCTION("IMPORTRANGE(""https://docs.google.com/spreadsheets/d/1QqKyyYR6Q21VydFLVH3TRQUabQu_ym0Zz7PgGX0-kHA/edit?usp=sharing"",""แผน!HR30"")"),0)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IFERROR(__xludf.DUMMYFUNCTION("IMPORTRANGE(""https://docs.google.com/spreadsheets/d/1XWAQStnk-4SwqDmLtmXYiTMKHgktTP8We1SCoS47DrQ/edit?usp=sharing"",""จัดที่ดิน!AS30"")"),4)</f>
        <v>4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IFERROR(__xludf.DUMMYFUNCTION("IMPORTRANGE(""https://docs.google.com/spreadsheets/d/1XWAQStnk-4SwqDmLtmXYiTMKHgktTP8We1SCoS47DrQ/edit?usp=sharing"",""จัดที่ดิน!AT30"")"),4.2)</f>
        <v>4.2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IFERROR(__xludf.DUMMYFUNCTION("IMPORTRANGE(""https://docs.google.com/spreadsheets/d/1QqKyyYR6Q21VydFLVH3TRQUabQu_ym0Zz7PgGX0-kHA/edit?usp=sharing"",""แผน!HS30"")"),45)</f>
        <v>45</v>
      </c>
      <c r="J647" s="270">
        <f ca="1">IFERROR(__xludf.DUMMYFUNCTION("IMPORTRANGE(""https://docs.google.com/spreadsheets/d/1XWAQStnk-4SwqDmLtmXYiTMKHgktTP8We1SCoS47DrQ/edit?usp=sharing"",""จัดที่ดิน!AU30"")"),0)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IFERROR(__xludf.DUMMYFUNCTION("IMPORTRANGE(""https://docs.google.com/spreadsheets/d/1XWAQStnk-4SwqDmLtmXYiTMKHgktTP8We1SCoS47DrQ/edit?usp=sharing"",""จัดที่ดิน!AV30"")"),0)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IFERROR(__xludf.DUMMYFUNCTION("IMPORTRANGE(""https://docs.google.com/spreadsheets/d/1QqKyyYR6Q21VydFLVH3TRQUabQu_ym0Zz7PgGX0-kHA/edit?usp=sharing"",""แผน!HS30"")"),45)</f>
        <v>45</v>
      </c>
      <c r="J649" s="270">
        <f ca="1">IFERROR(__xludf.DUMMYFUNCTION("IMPORTRANGE(""https://docs.google.com/spreadsheets/d/1XWAQStnk-4SwqDmLtmXYiTMKHgktTP8We1SCoS47DrQ/edit?usp=sharing"",""จัดที่ดิน!AW30"")"),0)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IFERROR(__xludf.DUMMYFUNCTION("IMPORTRANGE(""https://docs.google.com/spreadsheets/d/1XWAQStnk-4SwqDmLtmXYiTMKHgktTP8We1SCoS47DrQ/edit?usp=sharing"",""จัดที่ดิน!AX30"")"),0)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IFERROR(__xludf.DUMMYFUNCTION("IMPORTRANGE(""https://docs.google.com/spreadsheets/d/1QqKyyYR6Q21VydFLVH3TRQUabQu_ym0Zz7PgGX0-kHA/edit?usp=sharing"",""แผน!HS30"")"),45)</f>
        <v>45</v>
      </c>
      <c r="J651" s="270">
        <f ca="1">IFERROR(__xludf.DUMMYFUNCTION("IMPORTRANGE(""https://docs.google.com/spreadsheets/d/1XWAQStnk-4SwqDmLtmXYiTMKHgktTP8We1SCoS47DrQ/edit?usp=sharing"",""จัดที่ดิน!AY30"")"),3)</f>
        <v>3</v>
      </c>
      <c r="K651" s="163">
        <f t="shared" ca="1" si="271"/>
        <v>6.666666666666667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IFERROR(__xludf.DUMMYFUNCTION("IMPORTRANGE(""https://docs.google.com/spreadsheets/d/1XWAQStnk-4SwqDmLtmXYiTMKHgktTP8We1SCoS47DrQ/edit?usp=sharing"",""จัดที่ดิน!AZ30"")"),3)</f>
        <v>3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100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4520</v>
      </c>
      <c r="O655" s="195">
        <f t="shared" ref="O655:O660" ca="1" si="274">IF(L655&gt;0,N655*100/L655,0)</f>
        <v>36.451612903225808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4520</v>
      </c>
      <c r="O657" s="93">
        <f t="shared" ca="1" si="274"/>
        <v>36.451612903225808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si="277"/>
        <v>0</v>
      </c>
      <c r="N658" s="466">
        <f t="shared" si="277"/>
        <v>4520</v>
      </c>
      <c r="O658" s="466">
        <f t="shared" ca="1" si="274"/>
        <v>36.451612903225808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IFERROR(__xludf.DUMMYFUNCTION("IMPORTRANGE(""https://docs.google.com/spreadsheets/d/1QqKyyYR6Q21VydFLVH3TRQUabQu_ym0Zz7PgGX0-kHA/edit?usp=sharing"",""แผน!HV30"")"),12400)</f>
        <v>12400</v>
      </c>
      <c r="M660" s="93">
        <v>0</v>
      </c>
      <c r="N660" s="93">
        <f>N661+N662+N663+N664</f>
        <v>4520</v>
      </c>
      <c r="O660" s="93">
        <f t="shared" ca="1" si="274"/>
        <v>36.451612903225808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4520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IFERROR(__xludf.DUMMYFUNCTION("IMPORTRANGE(""https://docs.google.com/spreadsheets/d/1QqKyyYR6Q21VydFLVH3TRQUabQu_ym0Zz7PgGX0-kHA/edit?usp=sharing"",""แผน!IA30"")"),100)</f>
        <v>100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IFERROR(__xludf.DUMMYFUNCTION("IMPORTRANGE(""https://docs.google.com/spreadsheets/d/1QqKyyYR6Q21VydFLVH3TRQUabQu_ym0Zz7PgGX0-kHA/edit?usp=sharing"",""แผน!HZ30"")"),4)</f>
        <v>4</v>
      </c>
      <c r="J670" s="215">
        <v>6</v>
      </c>
      <c r="K670" s="466">
        <f ca="1">IF(I670&gt;0,(J670*100)/I670,0)</f>
        <v>150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IFERROR(__xludf.DUMMYFUNCTION("IMPORTRANGE(""https://docs.google.com/spreadsheets/d/1QqKyyYR6Q21VydFLVH3TRQUabQu_ym0Zz7PgGX0-kHA/edit?usp=sharing"",""แผน!HZ30"")"),4)</f>
        <v>4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IFERROR(__xludf.DUMMYFUNCTION("IMPORTRANGE(""https://docs.google.com/spreadsheets/d/1QqKyyYR6Q21VydFLVH3TRQUabQu_ym0Zz7PgGX0-kHA/edit?usp=sharing"",""แผน!IB30"")"),0)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40660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40660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40660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IFERROR(__xludf.DUMMYFUNCTION("IMPORTRANGE(""https://docs.google.com/spreadsheets/d/1QqKyyYR6Q21VydFLVH3TRQUabQu_ym0Zz7PgGX0-kHA/edit?usp=sharing"",""แผน!HW30"")"),40660)</f>
        <v>40660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IFERROR(__xludf.DUMMYFUNCTION("IMPORTRANGE(""https://docs.google.com/spreadsheets/d/1QqKyyYR6Q21VydFLVH3TRQUabQu_ym0Zz7PgGX0-kHA/edit?usp=sharing"",""แผน!IC30"")"),18)</f>
        <v>18</v>
      </c>
      <c r="J699" s="270">
        <f ca="1">IFERROR(__xludf.DUMMYFUNCTION("IMPORTRANGE(""https://docs.google.com/spreadsheets/d/1XWAQStnk-4SwqDmLtmXYiTMKHgktTP8We1SCoS47DrQ/edit?usp=sharing"",""จัดที่ดิน!BB30"")"),0)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IFERROR(__xludf.DUMMYFUNCTION("IMPORTRANGE(""https://docs.google.com/spreadsheets/d/1QqKyyYR6Q21VydFLVH3TRQUabQu_ym0Zz7PgGX0-kHA/edit?usp=sharing"",""แผน!ID30"")"),3)</f>
        <v>3</v>
      </c>
      <c r="J700" s="270">
        <f ca="1">IFERROR(__xludf.DUMMYFUNCTION("IMPORTRANGE(""https://docs.google.com/spreadsheets/d/1XWAQStnk-4SwqDmLtmXYiTMKHgktTP8We1SCoS47DrQ/edit?usp=sharing"",""จัดที่ดิน!BD30"")"),0)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IFERROR(__xludf.DUMMYFUNCTION("IMPORTRANGE(""https://docs.google.com/spreadsheets/d/1QqKyyYR6Q21VydFLVH3TRQUabQu_ym0Zz7PgGX0-kHA/edit?usp=sharing"",""แผน!IE30"")"),151)</f>
        <v>151</v>
      </c>
      <c r="J701" s="647">
        <f>J704+J707</f>
        <v>55.04</v>
      </c>
      <c r="K701" s="195">
        <f t="shared" ca="1" si="290"/>
        <v>36.450331125827816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IFERROR(__xludf.DUMMYFUNCTION("IMPORTRANGE(""https://docs.google.com/spreadsheets/d/1QqKyyYR6Q21VydFLVH3TRQUabQu_ym0Zz7PgGX0-kHA/edit?usp=sharing"",""แผน!IF30"")"),144)</f>
        <v>144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3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3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IFERROR(__xludf.DUMMYFUNCTION("IMPORTRANGE(""https://docs.google.com/spreadsheets/d/1QqKyyYR6Q21VydFLVH3TRQUabQu_ym0Zz7PgGX0-kHA/edit?usp=sharing"",""แผน!IG30"")"),7)</f>
        <v>7</v>
      </c>
      <c r="J707" s="215">
        <v>55.04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IFERROR(__xludf.DUMMYFUNCTION("IMPORTRANGE(""https://docs.google.com/spreadsheets/d/1QqKyyYR6Q21VydFLVH3TRQUabQu_ym0Zz7PgGX0-kHA/edit?usp=sharing"",""แผน!IH30"")"),260)</f>
        <v>260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IFERROR(__xludf.DUMMYFUNCTION("IMPORTRANGE(""https://docs.google.com/spreadsheets/d/1XWAQStnk-4SwqDmLtmXYiTMKHgktTP8We1SCoS47DrQ/edit?usp=sharing"",""จัดที่ดิน!BF30"")"),1)</f>
        <v>1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IFERROR(__xludf.DUMMYFUNCTION("IMPORTRANGE(""https://docs.google.com/spreadsheets/d/1XWAQStnk-4SwqDmLtmXYiTMKHgktTP8We1SCoS47DrQ/edit?usp=sharing"",""จัดที่ดิน!BG30"")"),1)</f>
        <v>1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IFERROR(__xludf.DUMMYFUNCTION("IMPORTRANGE(""https://docs.google.com/spreadsheets/d/1QqKyyYR6Q21VydFLVH3TRQUabQu_ym0Zz7PgGX0-kHA/edit?usp=sharing"",""แผน!II30"")"),640)</f>
        <v>640</v>
      </c>
      <c r="J720" s="270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466">
        <f t="shared" ref="K720:K723" ca="1" si="291">IF(I720&gt;0,J720*100/I720,0)</f>
        <v>1.5703125000000002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IFERROR(__xludf.DUMMYFUNCTION("IMPORTRANGE(""https://docs.google.com/spreadsheets/d/1QqKyyYR6Q21VydFLVH3TRQUabQu_ym0Zz7PgGX0-kHA/edit?usp=sharing"",""แผน!IJ30"")"),9)</f>
        <v>9</v>
      </c>
      <c r="J721" s="647">
        <f ca="1">J723+J726</f>
        <v>6</v>
      </c>
      <c r="K721" s="195">
        <f t="shared" ca="1" si="291"/>
        <v>66.666666666666671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IFERROR(__xludf.DUMMYFUNCTION("IMPORTRANGE(""https://docs.google.com/spreadsheets/d/1QqKyyYR6Q21VydFLVH3TRQUabQu_ym0Zz7PgGX0-kHA/edit?usp=sharing"",""แผน!IK30"")"),139)</f>
        <v>139</v>
      </c>
      <c r="J722" s="647">
        <f ca="1">J725+J728</f>
        <v>123.25</v>
      </c>
      <c r="K722" s="195">
        <f t="shared" ca="1" si="291"/>
        <v>88.669064748201436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IFERROR(__xludf.DUMMYFUNCTION("IMPORTRANGE(""https://docs.google.com/spreadsheets/d/1QqKyyYR6Q21VydFLVH3TRQUabQu_ym0Zz7PgGX0-kHA/edit?usp=sharing"",""แผน!IL30"")"),7)</f>
        <v>7</v>
      </c>
      <c r="J723" s="270">
        <f ca="1">IFERROR(__xludf.DUMMYFUNCTION("IMPORTRANGE(""https://docs.google.com/spreadsheets/d/1XWAQStnk-4SwqDmLtmXYiTMKHgktTP8We1SCoS47DrQ/edit?usp=sharing"",""จัดที่ดิน!BM30"")"),6)</f>
        <v>6</v>
      </c>
      <c r="K723" s="466">
        <f t="shared" ca="1" si="291"/>
        <v>85.714285714285708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IFERROR(__xludf.DUMMYFUNCTION("IMPORTRANGE(""https://docs.google.com/spreadsheets/d/1XWAQStnk-4SwqDmLtmXYiTMKHgktTP8We1SCoS47DrQ/edit?usp=sharing"",""จัดที่ดิน!BN30"")"),6)</f>
        <v>6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IFERROR(__xludf.DUMMYFUNCTION("IMPORTRANGE(""https://docs.google.com/spreadsheets/d/1QqKyyYR6Q21VydFLVH3TRQUabQu_ym0Zz7PgGX0-kHA/edit?usp=sharing"",""แผน!IM30"")"),114)</f>
        <v>114</v>
      </c>
      <c r="J725" s="270">
        <f ca="1">IFERROR(__xludf.DUMMYFUNCTION("IMPORTRANGE(""https://docs.google.com/spreadsheets/d/1XWAQStnk-4SwqDmLtmXYiTMKHgktTP8We1SCoS47DrQ/edit?usp=sharing"",""จัดที่ดิน!BO30"")"),123.25)</f>
        <v>123.25</v>
      </c>
      <c r="K725" s="466">
        <f t="shared" ref="K725:K726" ca="1" si="292">IF(I725&gt;0,J725*100/I725,0)</f>
        <v>108.1140350877193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IFERROR(__xludf.DUMMYFUNCTION("IMPORTRANGE(""https://docs.google.com/spreadsheets/d/1QqKyyYR6Q21VydFLVH3TRQUabQu_ym0Zz7PgGX0-kHA/edit?usp=sharing"",""แผน!IN30"")"),2)</f>
        <v>2</v>
      </c>
      <c r="J726" s="270">
        <f ca="1">IFERROR(__xludf.DUMMYFUNCTION("IMPORTRANGE(""https://docs.google.com/spreadsheets/d/1XWAQStnk-4SwqDmLtmXYiTMKHgktTP8We1SCoS47DrQ/edit?usp=sharing"",""จัดที่ดิน!BR30"")"),0)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IFERROR(__xludf.DUMMYFUNCTION("IMPORTRANGE(""https://docs.google.com/spreadsheets/d/1XWAQStnk-4SwqDmLtmXYiTMKHgktTP8We1SCoS47DrQ/edit?usp=sharing"",""จัดที่ดิน!BS30"")"),0)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IFERROR(__xludf.DUMMYFUNCTION("IMPORTRANGE(""https://docs.google.com/spreadsheets/d/1QqKyyYR6Q21VydFLVH3TRQUabQu_ym0Zz7PgGX0-kHA/edit?usp=sharing"",""แผน!IO30"")"),25)</f>
        <v>25</v>
      </c>
      <c r="J728" s="270">
        <f ca="1">IFERROR(__xludf.DUMMYFUNCTION("IMPORTRANGE(""https://docs.google.com/spreadsheets/d/1XWAQStnk-4SwqDmLtmXYiTMKHgktTP8We1SCoS47DrQ/edit?usp=sharing"",""จัดที่ดิน!BT30"")"),0)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IFERROR(__xludf.DUMMYFUNCTION("IMPORTRANGE(""https://docs.google.com/spreadsheets/d/1QqKyyYR6Q21VydFLVH3TRQUabQu_ym0Zz7PgGX0-kHA/edit?usp=sharing"",""แผน!IP30"")"),65)</f>
        <v>65</v>
      </c>
      <c r="J729" s="647">
        <f>J732+J735</f>
        <v>151.72</v>
      </c>
      <c r="K729" s="195">
        <f t="shared" ca="1" si="293"/>
        <v>233.41538461538462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5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5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94.48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3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3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57.24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84">
        <f t="shared" ref="I785:J785" ca="1" si="318">I800</f>
        <v>0</v>
      </c>
      <c r="J785" s="771">
        <f t="shared" ca="1" si="318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27"/>
      <c r="F789" s="727"/>
      <c r="G789" s="189"/>
      <c r="H789" s="776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IFERROR(__xludf.DUMMYFUNCTION("IMPORTRANGE(""https://docs.google.com/spreadsheets/d/1QqKyyYR6Q21VydFLVH3TRQUabQu_ym0Zz7PgGX0-kHA/edit?usp=sharing"",""แผน!JJ30"")"),0)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27"/>
      <c r="D792" s="727"/>
      <c r="E792" s="727"/>
      <c r="F792" s="727" t="s">
        <v>186</v>
      </c>
      <c r="G792" s="189"/>
      <c r="H792" s="776" t="s">
        <v>12</v>
      </c>
      <c r="I792" s="270"/>
      <c r="J792" s="270"/>
      <c r="K792" s="466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27"/>
      <c r="D793" s="727"/>
      <c r="E793" s="727"/>
      <c r="F793" s="727" t="s">
        <v>187</v>
      </c>
      <c r="G793" s="189"/>
      <c r="H793" s="776" t="s">
        <v>12</v>
      </c>
      <c r="I793" s="270"/>
      <c r="J793" s="270"/>
      <c r="K793" s="466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27"/>
      <c r="D794" s="727"/>
      <c r="E794" s="727"/>
      <c r="F794" s="727" t="s">
        <v>188</v>
      </c>
      <c r="G794" s="189"/>
      <c r="H794" s="776" t="s">
        <v>12</v>
      </c>
      <c r="I794" s="270"/>
      <c r="J794" s="270"/>
      <c r="K794" s="466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27"/>
      <c r="D795" s="727"/>
      <c r="E795" s="727"/>
      <c r="F795" s="727" t="s">
        <v>189</v>
      </c>
      <c r="G795" s="189"/>
      <c r="H795" s="776" t="s">
        <v>12</v>
      </c>
      <c r="I795" s="270"/>
      <c r="J795" s="270"/>
      <c r="K795" s="466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27"/>
      <c r="D796" s="571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774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6"/>
      <c r="H800" s="775" t="s">
        <v>46</v>
      </c>
      <c r="I800" s="184">
        <f ca="1">IFERROR(__xludf.DUMMYFUNCTION("IMPORTRANGE(""https://docs.google.com/spreadsheets/d/1QqKyyYR6Q21VydFLVH3TRQUabQu_ym0Zz7PgGX0-kHA/edit?usp=sharing"",""แผน!JN30"")"),0)</f>
        <v>0</v>
      </c>
      <c r="J800" s="184">
        <f ca="1">IFERROR(__xludf.DUMMYFUNCTION("IMPORTRANGE(""https://docs.google.com/spreadsheets/d/1MaWodYyGHDf7siQLGxnXhG4mBNTNIuy296niS2xXulU/edit?usp=sharing"",""RTK!H30"")"),0)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6"/>
      <c r="H801" s="776" t="s">
        <v>34</v>
      </c>
      <c r="I801" s="184"/>
      <c r="J801" s="270">
        <f ca="1">IFERROR(__xludf.DUMMYFUNCTION("IMPORTRANGE(""https://docs.google.com/spreadsheets/d/1MaWodYyGHDf7siQLGxnXhG4mBNTNIuy296niS2xXulU/edit?usp=sharing"",""RTK!I30"")"),0)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4"/>
      <c r="F802" s="684" t="s">
        <v>321</v>
      </c>
      <c r="G802" s="582"/>
      <c r="H802" s="619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4"/>
      <c r="F803" s="684"/>
      <c r="G803" s="582"/>
      <c r="H803" s="619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7">L806+L807</f>
        <v>0</v>
      </c>
      <c r="M805" s="613">
        <f t="shared" si="327"/>
        <v>0</v>
      </c>
      <c r="N805" s="613">
        <f t="shared" si="327"/>
        <v>0</v>
      </c>
      <c r="O805" s="613">
        <f t="shared" ref="O805:O810" si="328">IF(L805&gt;0,N805*100/L805,0)</f>
        <v>0</v>
      </c>
      <c r="P805" s="613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1">L809+L810</f>
        <v>0</v>
      </c>
      <c r="M808" s="613">
        <f t="shared" si="331"/>
        <v>0</v>
      </c>
      <c r="N808" s="613">
        <f t="shared" si="331"/>
        <v>0</v>
      </c>
      <c r="O808" s="613">
        <f t="shared" si="328"/>
        <v>0</v>
      </c>
      <c r="P808" s="613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2">L816+L817</f>
        <v>0</v>
      </c>
      <c r="M815" s="613">
        <f t="shared" si="332"/>
        <v>0</v>
      </c>
      <c r="N815" s="613">
        <f t="shared" si="332"/>
        <v>0</v>
      </c>
      <c r="O815" s="613">
        <f t="shared" ref="O815:O817" si="333">IF(L815&gt;0,N815*100/L815,0)</f>
        <v>0</v>
      </c>
      <c r="P815" s="613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IFERROR(__xludf.DUMMYFUNCTION("IMPORTRANGE(""https://docs.google.com/spreadsheets/d/19vJNZY_5yjcGF2XGBMNZRCAIB0Kwfpjp8YEOfu-bneM/edit?usp=sharing"",""งานกองทุน!D30"")"),2322577)</f>
        <v>2322577</v>
      </c>
      <c r="J821" s="270">
        <f ca="1">IFERROR(__xludf.DUMMYFUNCTION("IMPORTRANGE(""https://docs.google.com/spreadsheets/d/19vJNZY_5yjcGF2XGBMNZRCAIB0Kwfpjp8YEOfu-bneM/edit?usp=sharing"",""งานกองทุน!F30"")"),249935.15)</f>
        <v>249935.15</v>
      </c>
      <c r="K821" s="466">
        <f t="shared" ref="K821:K828" ca="1" si="335">IF(I821&gt;0,J821*100/I821,0)</f>
        <v>10.761113625081107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IFERROR(__xludf.DUMMYFUNCTION("IMPORTRANGE(""https://docs.google.com/spreadsheets/d/19vJNZY_5yjcGF2XGBMNZRCAIB0Kwfpjp8YEOfu-bneM/edit?usp=sharing"",""งานกองทุน!C30"")"),120)</f>
        <v>120</v>
      </c>
      <c r="J822" s="270">
        <f ca="1">IFERROR(__xludf.DUMMYFUNCTION("IMPORTRANGE(""https://docs.google.com/spreadsheets/d/19vJNZY_5yjcGF2XGBMNZRCAIB0Kwfpjp8YEOfu-bneM/edit?usp=sharing"",""งานกองทุน!E30"")"),32)</f>
        <v>32</v>
      </c>
      <c r="K822" s="466">
        <f t="shared" ca="1" si="335"/>
        <v>26.666666666666668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270">
        <f ca="1">IFERROR(__xludf.DUMMYFUNCTION("IMPORTRANGE(""https://docs.google.com/spreadsheets/d/19vJNZY_5yjcGF2XGBMNZRCAIB0Kwfpjp8YEOfu-bneM/edit?usp=sharing"",""งานกองทุน!K30"")"),470015.25)</f>
        <v>470015.25</v>
      </c>
      <c r="K823" s="466">
        <f t="shared" ca="1" si="335"/>
        <v>4.6721423246310572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IFERROR(__xludf.DUMMYFUNCTION("IMPORTRANGE(""https://docs.google.com/spreadsheets/d/19vJNZY_5yjcGF2XGBMNZRCAIB0Kwfpjp8YEOfu-bneM/edit?usp=sharing"",""งานกองทุน!H30"")"),585)</f>
        <v>585</v>
      </c>
      <c r="J824" s="270">
        <f ca="1">IFERROR(__xludf.DUMMYFUNCTION("IMPORTRANGE(""https://docs.google.com/spreadsheets/d/19vJNZY_5yjcGF2XGBMNZRCAIB0Kwfpjp8YEOfu-bneM/edit?usp=sharing"",""งานกองทุน!J30"")"),94)</f>
        <v>94</v>
      </c>
      <c r="K824" s="466">
        <f t="shared" ca="1" si="335"/>
        <v>16.068376068376068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270">
        <f ca="1">IFERROR(__xludf.DUMMYFUNCTION("IMPORTRANGE(""https://docs.google.com/spreadsheets/d/19vJNZY_5yjcGF2XGBMNZRCAIB0Kwfpjp8YEOfu-bneM/edit?usp=sharing"",""งานกองทุน!P30"")"),661472.82)</f>
        <v>661472.81999999995</v>
      </c>
      <c r="K825" s="466">
        <f t="shared" ca="1" si="335"/>
        <v>22.596909676109401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IFERROR(__xludf.DUMMYFUNCTION("IMPORTRANGE(""https://docs.google.com/spreadsheets/d/19vJNZY_5yjcGF2XGBMNZRCAIB0Kwfpjp8YEOfu-bneM/edit?usp=sharing"",""งานกองทุน!M30"")"),217)</f>
        <v>217</v>
      </c>
      <c r="J826" s="270">
        <f ca="1">IFERROR(__xludf.DUMMYFUNCTION("IMPORTRANGE(""https://docs.google.com/spreadsheets/d/19vJNZY_5yjcGF2XGBMNZRCAIB0Kwfpjp8YEOfu-bneM/edit?usp=sharing"",""งานกองทุน!O30"")"),68)</f>
        <v>68</v>
      </c>
      <c r="K826" s="466">
        <f t="shared" ca="1" si="335"/>
        <v>31.336405529953918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IFERROR(__xludf.DUMMYFUNCTION("IMPORTRANGE(""https://docs.google.com/spreadsheets/d/19vJNZY_5yjcGF2XGBMNZRCAIB0Kwfpjp8YEOfu-bneM/edit?usp=sharing"",""งานกองทุน!S30"")"),3480000)</f>
        <v>3480000</v>
      </c>
      <c r="J827" s="270">
        <f ca="1">IFERROR(__xludf.DUMMYFUNCTION("IMPORTRANGE(""https://docs.google.com/spreadsheets/d/19vJNZY_5yjcGF2XGBMNZRCAIB0Kwfpjp8YEOfu-bneM/edit?usp=sharing"",""งานกองทุน!U30"")"),0)</f>
        <v>0</v>
      </c>
      <c r="K827" s="466">
        <f t="shared" ca="1" si="335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IFERROR(__xludf.DUMMYFUNCTION("IMPORTRANGE(""https://docs.google.com/spreadsheets/d/19vJNZY_5yjcGF2XGBMNZRCAIB0Kwfpjp8YEOfu-bneM/edit?usp=sharing"",""งานกองทุน!R30"")"),139)</f>
        <v>139</v>
      </c>
      <c r="J828" s="469">
        <f ca="1">IFERROR(__xludf.DUMMYFUNCTION("IMPORTRANGE(""https://docs.google.com/spreadsheets/d/19vJNZY_5yjcGF2XGBMNZRCAIB0Kwfpjp8YEOfu-bneM/edit?usp=sharing"",""งานกองทุน!T30"")"),0)</f>
        <v>0</v>
      </c>
      <c r="K828" s="470">
        <f t="shared" ca="1" si="335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DE21B-63B3-46B7-AAC8-5F73FC6B002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6.85546875" style="801" bestFit="1" customWidth="1"/>
    <col min="10" max="10" width="14.4257812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329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7040498</v>
      </c>
      <c r="M8" s="22">
        <f t="shared" ca="1" si="0"/>
        <v>2060474</v>
      </c>
      <c r="N8" s="22">
        <f t="shared" ca="1" si="0"/>
        <v>1845879.02</v>
      </c>
      <c r="O8" s="22">
        <f t="shared" ref="O8:O16" ca="1" si="1">IF(L8&gt;0,N8*100/L8,0)</f>
        <v>26.218017816353331</v>
      </c>
      <c r="P8" s="22">
        <f t="shared" ref="P8:P16" ca="1" si="2">IF(M8&gt;0,N8*100/M8,0)</f>
        <v>89.585164384505703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7040498</v>
      </c>
      <c r="M10" s="30">
        <f t="shared" ca="1" si="3"/>
        <v>2060474</v>
      </c>
      <c r="N10" s="30">
        <f t="shared" ca="1" si="3"/>
        <v>1845879.02</v>
      </c>
      <c r="O10" s="30">
        <f t="shared" ca="1" si="1"/>
        <v>26.218017816353331</v>
      </c>
      <c r="P10" s="30">
        <f t="shared" ca="1" si="2"/>
        <v>89.585164384505703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6980498</v>
      </c>
      <c r="M11" s="466">
        <f t="shared" ca="1" si="4"/>
        <v>2000874</v>
      </c>
      <c r="N11" s="466">
        <f t="shared" ca="1" si="4"/>
        <v>1786279.02</v>
      </c>
      <c r="O11" s="466">
        <f t="shared" ca="1" si="1"/>
        <v>25.589564240259076</v>
      </c>
      <c r="P11" s="466">
        <f t="shared" ca="1" si="2"/>
        <v>89.274937852158601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6980498</v>
      </c>
      <c r="M13" s="93">
        <f t="shared" ca="1" si="5"/>
        <v>2000874</v>
      </c>
      <c r="N13" s="93">
        <f t="shared" ca="1" si="5"/>
        <v>1786279.02</v>
      </c>
      <c r="O13" s="93">
        <f t="shared" ca="1" si="1"/>
        <v>25.589564240259076</v>
      </c>
      <c r="P13" s="93">
        <f t="shared" ca="1" si="2"/>
        <v>89.274937852158601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59600</v>
      </c>
      <c r="N14" s="466">
        <f t="shared" ca="1" si="6"/>
        <v>59600</v>
      </c>
      <c r="O14" s="466">
        <f t="shared" ca="1" si="1"/>
        <v>99.333333333333329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59600</v>
      </c>
      <c r="N16" s="52">
        <f t="shared" ca="1" si="7"/>
        <v>59600</v>
      </c>
      <c r="O16" s="52">
        <f t="shared" ca="1" si="1"/>
        <v>99.333333333333329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4053029</v>
      </c>
      <c r="M18" s="22">
        <f t="shared" ca="1" si="8"/>
        <v>2060474</v>
      </c>
      <c r="N18" s="22">
        <f t="shared" ca="1" si="8"/>
        <v>1057353.51</v>
      </c>
      <c r="O18" s="22">
        <f t="shared" ref="O18:O26" ca="1" si="9">IF(L18&gt;0,N18*100/L18,0)</f>
        <v>26.087982839501024</v>
      </c>
      <c r="P18" s="22">
        <f t="shared" ref="P18:P26" ca="1" si="10">IF(M18&gt;0,N18*100/M18,0)</f>
        <v>51.316032621620074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4053029</v>
      </c>
      <c r="M20" s="30">
        <f t="shared" ca="1" si="11"/>
        <v>2060474</v>
      </c>
      <c r="N20" s="30">
        <f t="shared" ca="1" si="11"/>
        <v>1057353.51</v>
      </c>
      <c r="O20" s="30">
        <f t="shared" ca="1" si="9"/>
        <v>26.087982839501024</v>
      </c>
      <c r="P20" s="30">
        <f t="shared" ca="1" si="10"/>
        <v>51.316032621620074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3993029</v>
      </c>
      <c r="M21" s="466">
        <f t="shared" ca="1" si="12"/>
        <v>2000874</v>
      </c>
      <c r="N21" s="466">
        <f t="shared" ca="1" si="12"/>
        <v>997753.51</v>
      </c>
      <c r="O21" s="466">
        <f t="shared" ca="1" si="9"/>
        <v>24.987384514362404</v>
      </c>
      <c r="P21" s="466">
        <f t="shared" ca="1" si="10"/>
        <v>49.865884108644522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3993029</v>
      </c>
      <c r="M23" s="93">
        <f t="shared" ca="1" si="13"/>
        <v>2000874</v>
      </c>
      <c r="N23" s="93">
        <f t="shared" ca="1" si="13"/>
        <v>997753.51</v>
      </c>
      <c r="O23" s="93">
        <f t="shared" ca="1" si="9"/>
        <v>24.987384514362404</v>
      </c>
      <c r="P23" s="93">
        <f t="shared" ca="1" si="10"/>
        <v>49.865884108644522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59600</v>
      </c>
      <c r="N24" s="466">
        <f t="shared" ca="1" si="14"/>
        <v>59600</v>
      </c>
      <c r="O24" s="466">
        <f t="shared" ca="1" si="9"/>
        <v>99.333333333333329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59600</v>
      </c>
      <c r="N26" s="52">
        <f t="shared" ca="1" si="15"/>
        <v>59600</v>
      </c>
      <c r="O26" s="52">
        <f t="shared" ca="1" si="9"/>
        <v>99.333333333333329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2987469</v>
      </c>
      <c r="M28" s="22">
        <f t="shared" si="16"/>
        <v>0</v>
      </c>
      <c r="N28" s="22">
        <f t="shared" si="16"/>
        <v>788525.51</v>
      </c>
      <c r="O28" s="22">
        <f t="shared" ref="O28:O37" ca="1" si="17">IF(L28&gt;0,N28*100/L28,0)</f>
        <v>26.39443321420239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2987469</v>
      </c>
      <c r="M30" s="30">
        <f t="shared" si="19"/>
        <v>0</v>
      </c>
      <c r="N30" s="30">
        <f t="shared" si="19"/>
        <v>788525.51</v>
      </c>
      <c r="O30" s="30">
        <f t="shared" ca="1" si="17"/>
        <v>26.39443321420239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2987469</v>
      </c>
      <c r="M31" s="466">
        <f t="shared" si="20"/>
        <v>0</v>
      </c>
      <c r="N31" s="466">
        <f t="shared" si="20"/>
        <v>788525.51</v>
      </c>
      <c r="O31" s="466">
        <f t="shared" ca="1" si="17"/>
        <v>26.39443321420239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2987469</v>
      </c>
      <c r="M33" s="93">
        <f t="shared" si="21"/>
        <v>0</v>
      </c>
      <c r="N33" s="93">
        <f t="shared" si="21"/>
        <v>788525.51</v>
      </c>
      <c r="O33" s="93">
        <f t="shared" ca="1" si="17"/>
        <v>26.39443321420239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4053029</v>
      </c>
      <c r="M37" s="832">
        <f t="shared" ca="1" si="24"/>
        <v>2060474</v>
      </c>
      <c r="N37" s="832">
        <f t="shared" ca="1" si="24"/>
        <v>1057353.51</v>
      </c>
      <c r="O37" s="832">
        <f t="shared" ca="1" si="17"/>
        <v>26.087982839501024</v>
      </c>
      <c r="P37" s="832">
        <f t="shared" ca="1" si="18"/>
        <v>51.316032621620074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472819</v>
      </c>
      <c r="M41" s="85">
        <f t="shared" ca="1" si="25"/>
        <v>244684</v>
      </c>
      <c r="N41" s="85">
        <f t="shared" ca="1" si="25"/>
        <v>174997</v>
      </c>
      <c r="O41" s="85">
        <f t="shared" ref="O41:O49" ca="1" si="26">IF(L41&gt;0,N41*100/L41,0)</f>
        <v>37.011414515914126</v>
      </c>
      <c r="P41" s="85">
        <f t="shared" ref="P41:P49" ca="1" si="27">IF(M41&gt;0,N41*100/M41,0)</f>
        <v>71.519592617416748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472819</v>
      </c>
      <c r="M43" s="92">
        <f t="shared" ca="1" si="28"/>
        <v>244684</v>
      </c>
      <c r="N43" s="92">
        <f t="shared" ca="1" si="28"/>
        <v>174997</v>
      </c>
      <c r="O43" s="92">
        <f t="shared" ca="1" si="26"/>
        <v>37.011414515914126</v>
      </c>
      <c r="P43" s="92">
        <f t="shared" ca="1" si="27"/>
        <v>71.519592617416748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472819</v>
      </c>
      <c r="M44" s="466">
        <f t="shared" ca="1" si="29"/>
        <v>244684</v>
      </c>
      <c r="N44" s="466">
        <f t="shared" ca="1" si="29"/>
        <v>174997</v>
      </c>
      <c r="O44" s="466">
        <f t="shared" ca="1" si="26"/>
        <v>37.011414515914126</v>
      </c>
      <c r="P44" s="466">
        <f t="shared" ca="1" si="27"/>
        <v>71.519592617416748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IFERROR(__xludf.DUMMYFUNCTION("IMPORTRANGE(""https://docs.google.com/spreadsheets/d/1MeEWN-I1oV_STSDYn1IFDPWt_1FKiwhDph83XaGc0o0/edit?usp=sharing"",""งบพรบ!M14"")"),472819)</f>
        <v>472819</v>
      </c>
      <c r="M46" s="93">
        <f ca="1">IFERROR(__xludf.DUMMYFUNCTION("IMPORTRANGE(""https://docs.google.com/spreadsheets/d/1MeEWN-I1oV_STSDYn1IFDPWt_1FKiwhDph83XaGc0o0/edit?usp=sharing"",""งบพรบ!R14"")"),244684)</f>
        <v>244684</v>
      </c>
      <c r="N46" s="93">
        <f ca="1">IFERROR(__xludf.DUMMYFUNCTION("IMPORTRANGE(""https://docs.google.com/spreadsheets/d/1MeEWN-I1oV_STSDYn1IFDPWt_1FKiwhDph83XaGc0o0/edit?usp=sharing"",""งบพรบ!T14"")"),174997)</f>
        <v>174997</v>
      </c>
      <c r="O46" s="93">
        <f t="shared" ca="1" si="26"/>
        <v>37.011414515914126</v>
      </c>
      <c r="P46" s="93">
        <f t="shared" ca="1" si="27"/>
        <v>71.519592617416748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IFERROR(__xludf.DUMMYFUNCTION("IMPORTRANGE(""https://docs.google.com/spreadsheets/d/1MeEWN-I1oV_STSDYn1IFDPWt_1FKiwhDph83XaGc0o0/edit?usp=sharing"",""งบพรบ!P14"")"),0)</f>
        <v>0</v>
      </c>
      <c r="M49" s="52">
        <f ca="1">IFERROR(__xludf.DUMMYFUNCTION("IMPORTRANGE(""https://docs.google.com/spreadsheets/d/1MeEWN-I1oV_STSDYn1IFDPWt_1FKiwhDph83XaGc0o0/edit?usp=sharing"",""งบพรบ!S14"")"),0)</f>
        <v>0</v>
      </c>
      <c r="N49" s="52">
        <f ca="1">IFERROR(__xludf.DUMMYFUNCTION("IMPORTRANGE(""https://docs.google.com/spreadsheets/d/1MeEWN-I1oV_STSDYn1IFDPWt_1FKiwhDph83XaGc0o0/edit?usp=sharing"",""งบพรบ!U14"")"),0)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842200</v>
      </c>
      <c r="M53" s="116">
        <f t="shared" ca="1" si="31"/>
        <v>421100</v>
      </c>
      <c r="N53" s="116">
        <f t="shared" ca="1" si="31"/>
        <v>299967.51</v>
      </c>
      <c r="O53" s="116">
        <f t="shared" ref="O53:O61" ca="1" si="32">IF(L53&gt;0,N53*100/L53,0)</f>
        <v>35.617134884825454</v>
      </c>
      <c r="P53" s="116">
        <f t="shared" ref="P53:P61" ca="1" si="33">IF(M53&gt;0,N53*100/M53,0)</f>
        <v>71.234269769650908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842200</v>
      </c>
      <c r="M55" s="123">
        <f t="shared" ca="1" si="34"/>
        <v>421100</v>
      </c>
      <c r="N55" s="123">
        <f t="shared" ca="1" si="34"/>
        <v>299967.51</v>
      </c>
      <c r="O55" s="123">
        <f t="shared" ca="1" si="32"/>
        <v>35.617134884825454</v>
      </c>
      <c r="P55" s="123">
        <f t="shared" ca="1" si="33"/>
        <v>71.234269769650908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842200</v>
      </c>
      <c r="M56" s="466">
        <f t="shared" ca="1" si="35"/>
        <v>421100</v>
      </c>
      <c r="N56" s="466">
        <f t="shared" ca="1" si="35"/>
        <v>299967.51</v>
      </c>
      <c r="O56" s="466">
        <f t="shared" ca="1" si="32"/>
        <v>35.617134884825454</v>
      </c>
      <c r="P56" s="466">
        <f t="shared" ca="1" si="33"/>
        <v>71.234269769650908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IFERROR(__xludf.DUMMYFUNCTION("IMPORTRANGE(""https://docs.google.com/spreadsheets/d/1MeEWN-I1oV_STSDYn1IFDPWt_1FKiwhDph83XaGc0o0/edit?usp=sharing"",""งบพรบ!W14"")"),842200)</f>
        <v>842200</v>
      </c>
      <c r="M58" s="93">
        <f ca="1">IFERROR(__xludf.DUMMYFUNCTION("IMPORTRANGE(""https://docs.google.com/spreadsheets/d/1MeEWN-I1oV_STSDYn1IFDPWt_1FKiwhDph83XaGc0o0/edit?usp=sharing"",""งบพรบ!AB14"")"),421100)</f>
        <v>421100</v>
      </c>
      <c r="N58" s="93">
        <f ca="1">IFERROR(__xludf.DUMMYFUNCTION("IMPORTRANGE(""https://docs.google.com/spreadsheets/d/1MeEWN-I1oV_STSDYn1IFDPWt_1FKiwhDph83XaGc0o0/edit?usp=sharing"",""งบพรบ!AD14"")"),299967.51)</f>
        <v>299967.51</v>
      </c>
      <c r="O58" s="93">
        <f t="shared" ca="1" si="32"/>
        <v>35.617134884825454</v>
      </c>
      <c r="P58" s="93">
        <f t="shared" ca="1" si="33"/>
        <v>71.234269769650908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IFERROR(__xludf.DUMMYFUNCTION("IMPORTRANGE(""https://docs.google.com/spreadsheets/d/1MeEWN-I1oV_STSDYn1IFDPWt_1FKiwhDph83XaGc0o0/edit?usp=sharing"",""งบพรบ!Z14"")"),0)</f>
        <v>0</v>
      </c>
      <c r="M61" s="52">
        <f ca="1">IFERROR(__xludf.DUMMYFUNCTION("IMPORTRANGE(""https://docs.google.com/spreadsheets/d/1MeEWN-I1oV_STSDYn1IFDPWt_1FKiwhDph83XaGc0o0/edit?usp=sharing"",""งบพรบ!AC14"")"),0)</f>
        <v>0</v>
      </c>
      <c r="N61" s="52">
        <f ca="1">IFERROR(__xludf.DUMMYFUNCTION("IMPORTRANGE(""https://docs.google.com/spreadsheets/d/1MeEWN-I1oV_STSDYn1IFDPWt_1FKiwhDph83XaGc0o0/edit?usp=sharing"",""งบพรบ!AE14"")"),0)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IFERROR(__xludf.DUMMYFUNCTION("IMPORTRANGE(""https://docs.google.com/spreadsheets/d/1MeEWN-I1oV_STSDYn1IFDPWt_1FKiwhDph83XaGc0o0/edit?usp=sharing"",""งบพรบ!AG14"")"),0)</f>
        <v>0</v>
      </c>
      <c r="M71" s="93">
        <f ca="1">IFERROR(__xludf.DUMMYFUNCTION("IMPORTRANGE(""https://docs.google.com/spreadsheets/d/1MeEWN-I1oV_STSDYn1IFDPWt_1FKiwhDph83XaGc0o0/edit?usp=sharing"",""งบพรบ!AL14"")"),0)</f>
        <v>0</v>
      </c>
      <c r="N71" s="93">
        <f ca="1">IFERROR(__xludf.DUMMYFUNCTION("IMPORTRANGE(""https://docs.google.com/spreadsheets/d/1MeEWN-I1oV_STSDYn1IFDPWt_1FKiwhDph83XaGc0o0/edit?usp=sharing"",""งบพรบ!AN14"")"),0)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IFERROR(__xludf.DUMMYFUNCTION("IMPORTRANGE(""https://docs.google.com/spreadsheets/d/1MeEWN-I1oV_STSDYn1IFDPWt_1FKiwhDph83XaGc0o0/edit?usp=sharing"",""งบพรบ!AJ14"")"),0)</f>
        <v>0</v>
      </c>
      <c r="M74" s="93">
        <f ca="1">IFERROR(__xludf.DUMMYFUNCTION("IMPORTRANGE(""https://docs.google.com/spreadsheets/d/1MeEWN-I1oV_STSDYn1IFDPWt_1FKiwhDph83XaGc0o0/edit?usp=sharing"",""งบพรบ!AM14"")"),0)</f>
        <v>0</v>
      </c>
      <c r="N74" s="93">
        <f ca="1">IFERROR(__xludf.DUMMYFUNCTION("IMPORTRANGE(""https://docs.google.com/spreadsheets/d/1MeEWN-I1oV_STSDYn1IFDPWt_1FKiwhDph83XaGc0o0/edit?usp=sharing"",""งบพรบ!AO14"")"),0)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IFERROR(__xludf.DUMMYFUNCTION("IMPORTRANGE(""https://docs.google.com/spreadsheets/d/1QqKyyYR6Q21VydFLVH3TRQUabQu_ym0Zz7PgGX0-kHA/edit?usp=sharing"",""แผน!J14"")"),0)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34760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98460</v>
      </c>
      <c r="M90" s="93">
        <f t="shared" ca="1" si="52"/>
        <v>34760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34760</v>
      </c>
      <c r="N91" s="466">
        <f t="shared" ca="1" si="53"/>
        <v>0</v>
      </c>
      <c r="O91" s="466">
        <f t="shared" ca="1" si="50"/>
        <v>0</v>
      </c>
      <c r="P91" s="46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IFERROR(__xludf.DUMMYFUNCTION("IMPORTRANGE(""https://docs.google.com/spreadsheets/d/1MeEWN-I1oV_STSDYn1IFDPWt_1FKiwhDph83XaGc0o0/edit?usp=sharing"",""งบพรบ!AQ14"")"),98460)</f>
        <v>98460</v>
      </c>
      <c r="M93" s="93">
        <f ca="1">IFERROR(__xludf.DUMMYFUNCTION("IMPORTRANGE(""https://docs.google.com/spreadsheets/d/1MeEWN-I1oV_STSDYn1IFDPWt_1FKiwhDph83XaGc0o0/edit?usp=sharing"",""งบพรบ!AV14"")"),34760)</f>
        <v>34760</v>
      </c>
      <c r="N93" s="93">
        <f ca="1">IFERROR(__xludf.DUMMYFUNCTION("IMPORTRANGE(""https://docs.google.com/spreadsheets/d/1MeEWN-I1oV_STSDYn1IFDPWt_1FKiwhDph83XaGc0o0/edit?usp=sharing"",""งบพรบ!AX14"")"),0)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IFERROR(__xludf.DUMMYFUNCTION("IMPORTRANGE(""https://docs.google.com/spreadsheets/d/1MeEWN-I1oV_STSDYn1IFDPWt_1FKiwhDph83XaGc0o0/edit?usp=sharing"",""งบพรบ!AT14"")"),0)</f>
        <v>0</v>
      </c>
      <c r="M96" s="93">
        <f ca="1">IFERROR(__xludf.DUMMYFUNCTION("IMPORTRANGE(""https://docs.google.com/spreadsheets/d/1MeEWN-I1oV_STSDYn1IFDPWt_1FKiwhDph83XaGc0o0/edit?usp=sharing"",""งบพรบ!AW14"")"),0)</f>
        <v>0</v>
      </c>
      <c r="N96" s="93">
        <f ca="1">IFERROR(__xludf.DUMMYFUNCTION("IMPORTRANGE(""https://docs.google.com/spreadsheets/d/1MeEWN-I1oV_STSDYn1IFDPWt_1FKiwhDph83XaGc0o0/edit?usp=sharing"",""งบพรบ!AY14"")"),0)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IFERROR(__xludf.DUMMYFUNCTION("IMPORTRANGE(""https://docs.google.com/spreadsheets/d/1QqKyyYR6Q21VydFLVH3TRQUabQu_ym0Zz7PgGX0-kHA/edit?usp=sharing"",""แผน!K14"")"),45)</f>
        <v>45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IFERROR(__xludf.DUMMYFUNCTION("IMPORTRANGE(""https://docs.google.com/spreadsheets/d/1QqKyyYR6Q21VydFLVH3TRQUabQu_ym0Zz7PgGX0-kHA/edit?usp=sharing"",""แผน!L14"")"),15)</f>
        <v>15</v>
      </c>
      <c r="J99" s="270">
        <f>J104</f>
        <v>0</v>
      </c>
      <c r="K99" s="466">
        <f t="shared" ca="1" si="55"/>
        <v>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IFERROR(__xludf.DUMMYFUNCTION("IMPORTRANGE(""https://docs.google.com/spreadsheets/d/1QqKyyYR6Q21VydFLVH3TRQUabQu_ym0Zz7PgGX0-kHA/edit?usp=sharing"",""แผน!M14"")"),2)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IFERROR(__xludf.DUMMYFUNCTION("IMPORTRANGE(""https://docs.google.com/spreadsheets/d/1QqKyyYR6Q21VydFLVH3TRQUabQu_ym0Zz7PgGX0-kHA/edit?usp=sharing"",""แผน!N14"")"),45)</f>
        <v>45</v>
      </c>
      <c r="J102" s="215">
        <v>0</v>
      </c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IFERROR(__xludf.DUMMYFUNCTION("IMPORTRANGE(""https://docs.google.com/spreadsheets/d/1QqKyyYR6Q21VydFLVH3TRQUabQu_ym0Zz7PgGX0-kHA/edit?usp=sharing"",""แผน!O14"")"),15)</f>
        <v>15</v>
      </c>
      <c r="J103" s="215">
        <v>0</v>
      </c>
      <c r="K103" s="466">
        <f t="shared" ca="1" si="56"/>
        <v>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IFERROR(__xludf.DUMMYFUNCTION("IMPORTRANGE(""https://docs.google.com/spreadsheets/d/1QqKyyYR6Q21VydFLVH3TRQUabQu_ym0Zz7PgGX0-kHA/edit?usp=sharing"",""แผน!O14"")"),15)</f>
        <v>15</v>
      </c>
      <c r="J104" s="215">
        <v>0</v>
      </c>
      <c r="K104" s="466">
        <f t="shared" ca="1" si="56"/>
        <v>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IFERROR(__xludf.DUMMYFUNCTION("IMPORTRANGE(""https://docs.google.com/spreadsheets/d/1QqKyyYR6Q21VydFLVH3TRQUabQu_ym0Zz7PgGX0-kHA/edit?usp=sharing"",""แผน!P14"")"),1)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IFERROR(__xludf.DUMMYFUNCTION("IMPORTRANGE(""https://docs.google.com/spreadsheets/d/1QqKyyYR6Q21VydFLVH3TRQUabQu_ym0Zz7PgGX0-kHA/edit?usp=sharing"",""แผน!P14"")"),1)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IFERROR(__xludf.DUMMYFUNCTION("IMPORTRANGE(""https://docs.google.com/spreadsheets/d/1QqKyyYR6Q21VydFLVH3TRQUabQu_ym0Zz7PgGX0-kHA/edit?usp=sharing"",""แผน!Q14"")"),1)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IFERROR(__xludf.DUMMYFUNCTION("IMPORTRANGE(""https://docs.google.com/spreadsheets/d/1QqKyyYR6Q21VydFLVH3TRQUabQu_ym0Zz7PgGX0-kHA/edit?usp=sharing"",""แผน!Q14"")"),1)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IFERROR(__xludf.DUMMYFUNCTION("IMPORTRANGE(""https://docs.google.com/spreadsheets/d/1QqKyyYR6Q21VydFLVH3TRQUabQu_ym0Zz7PgGX0-kHA/edit?usp=sharing"",""แผน!R14"")"),15)</f>
        <v>15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IFERROR(__xludf.DUMMYFUNCTION("IMPORTRANGE(""https://docs.google.com/spreadsheets/d/1QqKyyYR6Q21VydFLVH3TRQUabQu_ym0Zz7PgGX0-kHA/edit?usp=sharing"",""แผน!R14"")"),15)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IFERROR(__xludf.DUMMYFUNCTION("IMPORTRANGE(""https://docs.google.com/spreadsheets/d/1QqKyyYR6Q21VydFLVH3TRQUabQu_ym0Zz7PgGX0-kHA/edit?usp=sharing"",""แผน!R14"")"),15)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IFERROR(__xludf.DUMMYFUNCTION("IMPORTRANGE(""https://docs.google.com/spreadsheets/d/1QqKyyYR6Q21VydFLVH3TRQUabQu_ym0Zz7PgGX0-kHA/edit?usp=sharing"",""แผน!S14"")"),1)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IFERROR(__xludf.DUMMYFUNCTION("IMPORTRANGE(""https://docs.google.com/spreadsheets/d/1QqKyyYR6Q21VydFLVH3TRQUabQu_ym0Zz7PgGX0-kHA/edit?usp=sharing"",""แผน!T14"")"),1)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IFERROR(__xludf.DUMMYFUNCTION("IMPORTRANGE(""https://docs.google.com/spreadsheets/d/1MeEWN-I1oV_STSDYn1IFDPWt_1FKiwhDph83XaGc0o0/edit?usp=sharing"",""งบพรบ!BA14"")"),0)</f>
        <v>0</v>
      </c>
      <c r="M124" s="93">
        <f ca="1">IFERROR(__xludf.DUMMYFUNCTION("IMPORTRANGE(""https://docs.google.com/spreadsheets/d/1MeEWN-I1oV_STSDYn1IFDPWt_1FKiwhDph83XaGc0o0/edit?usp=sharing"",""งบพรบ!BF14"")"),0)</f>
        <v>0</v>
      </c>
      <c r="N124" s="93">
        <f ca="1">IFERROR(__xludf.DUMMYFUNCTION("IMPORTRANGE(""https://docs.google.com/spreadsheets/d/1MeEWN-I1oV_STSDYn1IFDPWt_1FKiwhDph83XaGc0o0/edit?usp=sharing"",""งบพรบ!BH14"")"),0)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IFERROR(__xludf.DUMMYFUNCTION("IMPORTRANGE(""https://docs.google.com/spreadsheets/d/1MeEWN-I1oV_STSDYn1IFDPWt_1FKiwhDph83XaGc0o0/edit?usp=sharing"",""งบพรบ!BD14"")"),0)</f>
        <v>0</v>
      </c>
      <c r="M127" s="93">
        <f ca="1">IFERROR(__xludf.DUMMYFUNCTION("IMPORTRANGE(""https://docs.google.com/spreadsheets/d/1MeEWN-I1oV_STSDYn1IFDPWt_1FKiwhDph83XaGc0o0/edit?usp=sharing"",""งบพรบ!BG14"")"),0)</f>
        <v>0</v>
      </c>
      <c r="N127" s="93">
        <f ca="1">IFERROR(__xludf.DUMMYFUNCTION("IMPORTRANGE(""https://docs.google.com/spreadsheets/d/1MeEWN-I1oV_STSDYn1IFDPWt_1FKiwhDph83XaGc0o0/edit?usp=sharing"",""งบพรบ!BI14"")"),0)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IFERROR(__xludf.DUMMYFUNCTION("IMPORTRANGE(""https://docs.google.com/spreadsheets/d/1MeEWN-I1oV_STSDYn1IFDPWt_1FKiwhDph83XaGc0o0/edit?usp=sharing"",""งบพรบ!BK14"")"),0)</f>
        <v>0</v>
      </c>
      <c r="M137" s="93">
        <f ca="1">IFERROR(__xludf.DUMMYFUNCTION("IMPORTRANGE(""https://docs.google.com/spreadsheets/d/1MeEWN-I1oV_STSDYn1IFDPWt_1FKiwhDph83XaGc0o0/edit?usp=sharing"",""งบพรบ!BP14"")"),0)</f>
        <v>0</v>
      </c>
      <c r="N137" s="93">
        <f ca="1">IFERROR(__xludf.DUMMYFUNCTION("IMPORTRANGE(""https://docs.google.com/spreadsheets/d/1MeEWN-I1oV_STSDYn1IFDPWt_1FKiwhDph83XaGc0o0/edit?usp=sharing"",""งบพรบ!BR14"")"),0)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IFERROR(__xludf.DUMMYFUNCTION("IMPORTRANGE(""https://docs.google.com/spreadsheets/d/1MeEWN-I1oV_STSDYn1IFDPWt_1FKiwhDph83XaGc0o0/edit?usp=sharing"",""งบพรบ!BN14"")"),0)</f>
        <v>0</v>
      </c>
      <c r="M140" s="93">
        <f ca="1">IFERROR(__xludf.DUMMYFUNCTION("IMPORTRANGE(""https://docs.google.com/spreadsheets/d/1MeEWN-I1oV_STSDYn1IFDPWt_1FKiwhDph83XaGc0o0/edit?usp=sharing"",""งบพรบ!BQ14"")"),0)</f>
        <v>0</v>
      </c>
      <c r="N140" s="93">
        <f ca="1">IFERROR(__xludf.DUMMYFUNCTION("IMPORTRANGE(""https://docs.google.com/spreadsheets/d/1MeEWN-I1oV_STSDYn1IFDPWt_1FKiwhDph83XaGc0o0/edit?usp=sharing"",""งบพรบ!BS14"")"),0)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IFERROR(__xludf.DUMMYFUNCTION("IMPORTRANGE(""https://docs.google.com/spreadsheets/d/1QqKyyYR6Q21VydFLVH3TRQUabQu_ym0Zz7PgGX0-kHA/edit?usp=sharing"",""แผน!U14"")"),0)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IFERROR(__xludf.DUMMYFUNCTION("IMPORTRANGE(""https://docs.google.com/spreadsheets/d/1QqKyyYR6Q21VydFLVH3TRQUabQu_ym0Zz7PgGX0-kHA/edit?usp=sharing"",""แผน!V14"")"),0)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IFERROR(__xludf.DUMMYFUNCTION("IMPORTRANGE(""https://docs.google.com/spreadsheets/d/1QqKyyYR6Q21VydFLVH3TRQUabQu_ym0Zz7PgGX0-kHA/edit?usp=sharing"",""แผน!W14"")"),0)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IFERROR(__xludf.DUMMYFUNCTION("IMPORTRANGE(""https://docs.google.com/spreadsheets/d/1MeEWN-I1oV_STSDYn1IFDPWt_1FKiwhDph83XaGc0o0/edit?usp=sharing"",""งบพรบ!BU14"")"),0)</f>
        <v>0</v>
      </c>
      <c r="M154" s="93">
        <f ca="1">IFERROR(__xludf.DUMMYFUNCTION("IMPORTRANGE(""https://docs.google.com/spreadsheets/d/1MeEWN-I1oV_STSDYn1IFDPWt_1FKiwhDph83XaGc0o0/edit?usp=sharing"",""งบพรบ!BZ14"")"),0)</f>
        <v>0</v>
      </c>
      <c r="N154" s="93">
        <f ca="1">IFERROR(__xludf.DUMMYFUNCTION("IMPORTRANGE(""https://docs.google.com/spreadsheets/d/1MeEWN-I1oV_STSDYn1IFDPWt_1FKiwhDph83XaGc0o0/edit?usp=sharing"",""งบพรบ!CB14"")"),0)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IFERROR(__xludf.DUMMYFUNCTION("IMPORTRANGE(""https://docs.google.com/spreadsheets/d/1MeEWN-I1oV_STSDYn1IFDPWt_1FKiwhDph83XaGc0o0/edit?usp=sharing"",""งบพรบ!BX14"")"),0)</f>
        <v>0</v>
      </c>
      <c r="M157" s="93">
        <f ca="1">IFERROR(__xludf.DUMMYFUNCTION("IMPORTRANGE(""https://docs.google.com/spreadsheets/d/1MeEWN-I1oV_STSDYn1IFDPWt_1FKiwhDph83XaGc0o0/edit?usp=sharing"",""งบพรบ!CA14"")"),0)</f>
        <v>0</v>
      </c>
      <c r="N157" s="93">
        <f ca="1">IFERROR(__xludf.DUMMYFUNCTION("IMPORTRANGE(""https://docs.google.com/spreadsheets/d/1MeEWN-I1oV_STSDYn1IFDPWt_1FKiwhDph83XaGc0o0/edit?usp=sharing"",""งบพรบ!CC14"")"),0)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23060</v>
      </c>
      <c r="N168" s="466">
        <f t="shared" ca="1" si="88"/>
        <v>23060</v>
      </c>
      <c r="O168" s="466">
        <f t="shared" ca="1" si="85"/>
        <v>100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IFERROR(__xludf.DUMMYFUNCTION("IMPORTRANGE(""https://docs.google.com/spreadsheets/d/1MeEWN-I1oV_STSDYn1IFDPWt_1FKiwhDph83XaGc0o0/edit?usp=sharing"",""งบพรบ!CE14"")"),23060)</f>
        <v>23060</v>
      </c>
      <c r="M170" s="93">
        <f ca="1">IFERROR(__xludf.DUMMYFUNCTION("IMPORTRANGE(""https://docs.google.com/spreadsheets/d/1MeEWN-I1oV_STSDYn1IFDPWt_1FKiwhDph83XaGc0o0/edit?usp=sharing"",""งบพรบ!CJ14"")"),23060)</f>
        <v>23060</v>
      </c>
      <c r="N170" s="93">
        <f ca="1">IFERROR(__xludf.DUMMYFUNCTION("IMPORTRANGE(""https://docs.google.com/spreadsheets/d/1MeEWN-I1oV_STSDYn1IFDPWt_1FKiwhDph83XaGc0o0/edit?usp=sharing"",""งบพรบ!CL14"")"),23060)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IFERROR(__xludf.DUMMYFUNCTION("IMPORTRANGE(""https://docs.google.com/spreadsheets/d/1MeEWN-I1oV_STSDYn1IFDPWt_1FKiwhDph83XaGc0o0/edit?usp=sharing"",""งบพรบ!CH14"")"),0)</f>
        <v>0</v>
      </c>
      <c r="M173" s="93">
        <f ca="1">IFERROR(__xludf.DUMMYFUNCTION("IMPORTRANGE(""https://docs.google.com/spreadsheets/d/1MeEWN-I1oV_STSDYn1IFDPWt_1FKiwhDph83XaGc0o0/edit?usp=sharing"",""งบพรบ!CK14"")"),0)</f>
        <v>0</v>
      </c>
      <c r="N173" s="93">
        <f ca="1">IFERROR(__xludf.DUMMYFUNCTION("IMPORTRANGE(""https://docs.google.com/spreadsheets/d/1MeEWN-I1oV_STSDYn1IFDPWt_1FKiwhDph83XaGc0o0/edit?usp=sharing"",""งบพรบ!CM14"")"),0)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30000</v>
      </c>
      <c r="N181" s="155">
        <f t="shared" ca="1" si="92"/>
        <v>27000</v>
      </c>
      <c r="O181" s="155">
        <f t="shared" ref="O181:O189" ca="1" si="93">IF(L181&gt;0,N181*100/L181,0)</f>
        <v>42.519685039370081</v>
      </c>
      <c r="P181" s="155">
        <f t="shared" ref="P181:P189" ca="1" si="94">IF(M181&gt;0,N181*100/M181,0)</f>
        <v>90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63500</v>
      </c>
      <c r="M183" s="93">
        <f t="shared" ca="1" si="95"/>
        <v>30000</v>
      </c>
      <c r="N183" s="93">
        <f t="shared" ca="1" si="95"/>
        <v>27000</v>
      </c>
      <c r="O183" s="93">
        <f t="shared" ca="1" si="93"/>
        <v>42.519685039370081</v>
      </c>
      <c r="P183" s="93">
        <f t="shared" ca="1" si="94"/>
        <v>90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30000</v>
      </c>
      <c r="N184" s="466">
        <f t="shared" ca="1" si="96"/>
        <v>27000</v>
      </c>
      <c r="O184" s="466">
        <f t="shared" ca="1" si="93"/>
        <v>42.519685039370081</v>
      </c>
      <c r="P184" s="466">
        <f t="shared" ca="1" si="94"/>
        <v>90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IFERROR(__xludf.DUMMYFUNCTION("IMPORTRANGE(""https://docs.google.com/spreadsheets/d/1MeEWN-I1oV_STSDYn1IFDPWt_1FKiwhDph83XaGc0o0/edit?usp=sharing"",""งบพรบ!CO14"")"),63500)</f>
        <v>63500</v>
      </c>
      <c r="M186" s="93">
        <f ca="1">IFERROR(__xludf.DUMMYFUNCTION("IMPORTRANGE(""https://docs.google.com/spreadsheets/d/1MeEWN-I1oV_STSDYn1IFDPWt_1FKiwhDph83XaGc0o0/edit?usp=sharing"",""งบพรบ!CT14"")"),30000)</f>
        <v>30000</v>
      </c>
      <c r="N186" s="93">
        <f ca="1">IFERROR(__xludf.DUMMYFUNCTION("IMPORTRANGE(""https://docs.google.com/spreadsheets/d/1MeEWN-I1oV_STSDYn1IFDPWt_1FKiwhDph83XaGc0o0/edit?usp=sharing"",""งบพรบ!CV14"")"),27000)</f>
        <v>27000</v>
      </c>
      <c r="O186" s="93">
        <f t="shared" ca="1" si="93"/>
        <v>42.519685039370081</v>
      </c>
      <c r="P186" s="93">
        <f t="shared" ca="1" si="94"/>
        <v>90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IFERROR(__xludf.DUMMYFUNCTION("IMPORTRANGE(""https://docs.google.com/spreadsheets/d/1MeEWN-I1oV_STSDYn1IFDPWt_1FKiwhDph83XaGc0o0/edit?usp=sharing"",""งบพรบ!CR14"")"),0)</f>
        <v>0</v>
      </c>
      <c r="M189" s="93">
        <f ca="1">IFERROR(__xludf.DUMMYFUNCTION("IMPORTRANGE(""https://docs.google.com/spreadsheets/d/1MeEWN-I1oV_STSDYn1IFDPWt_1FKiwhDph83XaGc0o0/edit?usp=sharing"",""งบพรบ!CU14"")"),0)</f>
        <v>0</v>
      </c>
      <c r="N189" s="93">
        <f ca="1">IFERROR(__xludf.DUMMYFUNCTION("IMPORTRANGE(""https://docs.google.com/spreadsheets/d/1MeEWN-I1oV_STSDYn1IFDPWt_1FKiwhDph83XaGc0o0/edit?usp=sharing"",""งบพรบ!CW14"")"),0)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IFERROR(__xludf.DUMMYFUNCTION("IMPORTRANGE(""https://docs.google.com/spreadsheets/d/1QqKyyYR6Q21VydFLVH3TRQUabQu_ym0Zz7PgGX0-kHA/edit?usp=sharing"",""แผน!Z14"")"),6000)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IFERROR(__xludf.DUMMYFUNCTION("IMPORTRANGE(""https://docs.google.com/spreadsheets/d/1QqKyyYR6Q21VydFLVH3TRQUabQu_ym0Zz7PgGX0-kHA/edit?usp=sharing"",""แผน!AC14"")"),4)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23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23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IFERROR(__xludf.DUMMYFUNCTION("IMPORTRANGE(""https://docs.google.com/spreadsheets/d/1QqKyyYR6Q21VydFLVH3TRQUabQu_ym0Zz7PgGX0-kHA/edit?usp=sharing"",""แผน!AE14"")"),3000)</f>
        <v>3000</v>
      </c>
      <c r="M199" s="466"/>
      <c r="N199" s="798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IFERROR(__xludf.DUMMYFUNCTION("IMPORTRANGE(""https://docs.google.com/spreadsheets/d/1QqKyyYR6Q21VydFLVH3TRQUabQu_ym0Zz7PgGX0-kHA/edit?usp=sharing"",""แผน!AF14"")"),24000)</f>
        <v>24000</v>
      </c>
      <c r="M200" s="466"/>
      <c r="N200" s="798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IFERROR(__xludf.DUMMYFUNCTION("IMPORTRANGE(""https://docs.google.com/spreadsheets/d/1QqKyyYR6Q21VydFLVH3TRQUabQu_ym0Zz7PgGX0-kHA/edit?usp=sharing"",""แผน!AG14"")"),12000)</f>
        <v>12000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IFERROR(__xludf.DUMMYFUNCTION("IMPORTRANGE(""https://docs.google.com/spreadsheets/d/1QqKyyYR6Q21VydFLVH3TRQUabQu_ym0Zz7PgGX0-kHA/edit?usp=sharing"",""แผน!AH14"")"),0)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IFERROR(__xludf.DUMMYFUNCTION("IMPORTRANGE(""https://docs.google.com/spreadsheets/d/1QqKyyYR6Q21VydFLVH3TRQUabQu_ym0Zz7PgGX0-kHA/edit?usp=sharing"",""แผน!AI14"")"),3)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IFERROR(__xludf.DUMMYFUNCTION("IMPORTRANGE(""https://docs.google.com/spreadsheets/d/1QqKyyYR6Q21VydFLVH3TRQUabQu_ym0Zz7PgGX0-kHA/edit?usp=sharing"",""แผน!AK14"")"),0)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IFERROR(__xludf.DUMMYFUNCTION("IMPORTRANGE(""https://docs.google.com/spreadsheets/d/1QqKyyYR6Q21VydFLVH3TRQUabQu_ym0Zz7PgGX0-kHA/edit?usp=sharing"",""แผน!AL14"")"),0)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IFERROR(__xludf.DUMMYFUNCTION("IMPORTRANGE(""https://docs.google.com/spreadsheets/d/1QqKyyYR6Q21VydFLVH3TRQUabQu_ym0Zz7PgGX0-kHA/edit?usp=sharing"",""แผน!AM14"")"),0)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IFERROR(__xludf.DUMMYFUNCTION("IMPORTRANGE(""https://docs.google.com/spreadsheets/d/1QqKyyYR6Q21VydFLVH3TRQUabQu_ym0Zz7PgGX0-kHA/edit?usp=sharing"",""แผน!AN14"")"),0)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IFERROR(__xludf.DUMMYFUNCTION("IMPORTRANGE(""https://docs.google.com/spreadsheets/d/1QqKyyYR6Q21VydFLVH3TRQUabQu_ym0Zz7PgGX0-kHA/edit?usp=sharing"",""แผน!AN14"")"),0)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IFERROR(__xludf.DUMMYFUNCTION("IMPORTRANGE(""https://docs.google.com/spreadsheets/d/1QqKyyYR6Q21VydFLVH3TRQUabQu_ym0Zz7PgGX0-kHA/edit?usp=sharing"",""แผน!AP14"")"),5000)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IFERROR(__xludf.DUMMYFUNCTION("IMPORTRANGE(""https://docs.google.com/spreadsheets/d/1QqKyyYR6Q21VydFLVH3TRQUabQu_ym0Zz7PgGX0-kHA/edit?usp=sharing"",""แผน!AQ14"")"),13500)</f>
        <v>13500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IFERROR(__xludf.DUMMYFUNCTION("IMPORTRANGE(""https://docs.google.com/spreadsheets/d/1QqKyyYR6Q21VydFLVH3TRQUabQu_ym0Zz7PgGX0-kHA/edit?usp=sharing"",""แผน!AR14"")"),0)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IFERROR(__xludf.DUMMYFUNCTION("IMPORTRANGE(""https://docs.google.com/spreadsheets/d/1QqKyyYR6Q21VydFLVH3TRQUabQu_ym0Zz7PgGX0-kHA/edit?usp=sharing"",""แผน!AT14"")"),50000)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IFERROR(__xludf.DUMMYFUNCTION("IMPORTRANGE(""https://docs.google.com/spreadsheets/d/1QqKyyYR6Q21VydFLVH3TRQUabQu_ym0Zz7PgGX0-kHA/edit?usp=sharing"",""แผน!AT14"")"),50000)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IFERROR(__xludf.DUMMYFUNCTION("IMPORTRANGE(""https://docs.google.com/spreadsheets/d/1QqKyyYR6Q21VydFLVH3TRQUabQu_ym0Zz7PgGX0-kHA/edit?usp=sharing"",""แผน!AS14"")"),0)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IFERROR(__xludf.DUMMYFUNCTION("IMPORTRANGE(""https://docs.google.com/spreadsheets/d/1QqKyyYR6Q21VydFLVH3TRQUabQu_ym0Zz7PgGX0-kHA/edit?usp=sharing"",""แผน!BE14"")"),0)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IFERROR(__xludf.DUMMYFUNCTION("IMPORTRANGE(""https://docs.google.com/spreadsheets/d/1QqKyyYR6Q21VydFLVH3TRQUabQu_ym0Zz7PgGX0-kHA/edit?usp=sharing"",""แผน!BF14"")"),0)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21740</v>
      </c>
      <c r="O261" s="155">
        <f t="shared" ref="O261:O269" ca="1" si="117">IF(L261&gt;0,N261*100/L261,0)</f>
        <v>80.817843866171003</v>
      </c>
      <c r="P261" s="155">
        <f t="shared" ref="P261:P269" ca="1" si="118">IF(M261&gt;0,N261*100/M261,0)</f>
        <v>90.962343096234306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21740</v>
      </c>
      <c r="O263" s="93">
        <f t="shared" ca="1" si="117"/>
        <v>80.817843866171003</v>
      </c>
      <c r="P263" s="93">
        <f t="shared" ca="1" si="118"/>
        <v>90.962343096234306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21740</v>
      </c>
      <c r="O264" s="466">
        <f t="shared" ca="1" si="117"/>
        <v>80.817843866171003</v>
      </c>
      <c r="P264" s="466">
        <f t="shared" ca="1" si="118"/>
        <v>90.962343096234306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IFERROR(__xludf.DUMMYFUNCTION("IMPORTRANGE(""https://docs.google.com/spreadsheets/d/1MeEWN-I1oV_STSDYn1IFDPWt_1FKiwhDph83XaGc0o0/edit?usp=sharing"",""งบพรบ!CY14"")"),26900)</f>
        <v>26900</v>
      </c>
      <c r="M266" s="93">
        <f ca="1">IFERROR(__xludf.DUMMYFUNCTION("IMPORTRANGE(""https://docs.google.com/spreadsheets/d/1MeEWN-I1oV_STSDYn1IFDPWt_1FKiwhDph83XaGc0o0/edit?usp=sharing"",""งบพรบ!DD14"")"),23900)</f>
        <v>23900</v>
      </c>
      <c r="N266" s="93">
        <f ca="1">IFERROR(__xludf.DUMMYFUNCTION("IMPORTRANGE(""https://docs.google.com/spreadsheets/d/1MeEWN-I1oV_STSDYn1IFDPWt_1FKiwhDph83XaGc0o0/edit?usp=sharing"",""งบพรบ!DF14"")"),21740)</f>
        <v>21740</v>
      </c>
      <c r="O266" s="93">
        <f t="shared" ca="1" si="117"/>
        <v>80.817843866171003</v>
      </c>
      <c r="P266" s="93">
        <f t="shared" ca="1" si="118"/>
        <v>90.962343096234306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IFERROR(__xludf.DUMMYFUNCTION("IMPORTRANGE(""https://docs.google.com/spreadsheets/d/1MeEWN-I1oV_STSDYn1IFDPWt_1FKiwhDph83XaGc0o0/edit?usp=sharing"",""งบพรบ!DB14"")"),0)</f>
        <v>0</v>
      </c>
      <c r="M269" s="93">
        <f ca="1">IFERROR(__xludf.DUMMYFUNCTION("IMPORTRANGE(""https://docs.google.com/spreadsheets/d/1MeEWN-I1oV_STSDYn1IFDPWt_1FKiwhDph83XaGc0o0/edit?usp=sharing"",""งบพรบ!DE14"")"),0)</f>
        <v>0</v>
      </c>
      <c r="N269" s="93">
        <f ca="1">IFERROR(__xludf.DUMMYFUNCTION("IMPORTRANGE(""https://docs.google.com/spreadsheets/d/1MeEWN-I1oV_STSDYn1IFDPWt_1FKiwhDph83XaGc0o0/edit?usp=sharing"",""งบพรบ!DG14"")"),0)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343610</v>
      </c>
      <c r="M277" s="155">
        <f t="shared" ca="1" si="125"/>
        <v>167210</v>
      </c>
      <c r="N277" s="155">
        <f t="shared" ca="1" si="125"/>
        <v>44869</v>
      </c>
      <c r="O277" s="155">
        <f t="shared" ref="O277:O285" ca="1" si="126">IF(L277&gt;0,N277*100/L277,0)</f>
        <v>13.058118215418643</v>
      </c>
      <c r="P277" s="155">
        <f t="shared" ref="P277:P285" ca="1" si="127">IF(M277&gt;0,N277*100/M277,0)</f>
        <v>26.833921416183241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343610</v>
      </c>
      <c r="M279" s="93">
        <f t="shared" ca="1" si="128"/>
        <v>167210</v>
      </c>
      <c r="N279" s="93">
        <f t="shared" ca="1" si="128"/>
        <v>44869</v>
      </c>
      <c r="O279" s="93">
        <f t="shared" ca="1" si="126"/>
        <v>13.058118215418643</v>
      </c>
      <c r="P279" s="93">
        <f t="shared" ca="1" si="127"/>
        <v>26.833921416183241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343610</v>
      </c>
      <c r="M280" s="466">
        <f t="shared" ca="1" si="129"/>
        <v>167210</v>
      </c>
      <c r="N280" s="466">
        <f t="shared" ca="1" si="129"/>
        <v>44869</v>
      </c>
      <c r="O280" s="466">
        <f t="shared" ca="1" si="126"/>
        <v>13.058118215418643</v>
      </c>
      <c r="P280" s="466">
        <f t="shared" ca="1" si="127"/>
        <v>26.833921416183241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IFERROR(__xludf.DUMMYFUNCTION("IMPORTRANGE(""https://docs.google.com/spreadsheets/d/1MeEWN-I1oV_STSDYn1IFDPWt_1FKiwhDph83XaGc0o0/edit?usp=sharing"",""งบพรบ!DI14"")"),343610)</f>
        <v>343610</v>
      </c>
      <c r="M282" s="93">
        <f ca="1">IFERROR(__xludf.DUMMYFUNCTION("IMPORTRANGE(""https://docs.google.com/spreadsheets/d/1MeEWN-I1oV_STSDYn1IFDPWt_1FKiwhDph83XaGc0o0/edit?usp=sharing"",""งบพรบ!DN14"")"),167210)</f>
        <v>167210</v>
      </c>
      <c r="N282" s="93">
        <f ca="1">IFERROR(__xludf.DUMMYFUNCTION("IMPORTRANGE(""https://docs.google.com/spreadsheets/d/1MeEWN-I1oV_STSDYn1IFDPWt_1FKiwhDph83XaGc0o0/edit?usp=sharing"",""งบพรบ!DP14"")"),44869)</f>
        <v>44869</v>
      </c>
      <c r="O282" s="93">
        <f t="shared" ca="1" si="126"/>
        <v>13.058118215418643</v>
      </c>
      <c r="P282" s="93">
        <f t="shared" ca="1" si="127"/>
        <v>26.833921416183241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IFERROR(__xludf.DUMMYFUNCTION("IMPORTRANGE(""https://docs.google.com/spreadsheets/d/1MeEWN-I1oV_STSDYn1IFDPWt_1FKiwhDph83XaGc0o0/edit?usp=sharing"",""งบพรบ!DL14"")"),0)</f>
        <v>0</v>
      </c>
      <c r="M285" s="93">
        <f ca="1">IFERROR(__xludf.DUMMYFUNCTION("IMPORTRANGE(""https://docs.google.com/spreadsheets/d/1MeEWN-I1oV_STSDYn1IFDPWt_1FKiwhDph83XaGc0o0/edit?usp=sharing"",""งบพรบ!DO14"")"),0)</f>
        <v>0</v>
      </c>
      <c r="N285" s="93">
        <f ca="1">IFERROR(__xludf.DUMMYFUNCTION("IMPORTRANGE(""https://docs.google.com/spreadsheets/d/1MeEWN-I1oV_STSDYn1IFDPWt_1FKiwhDph83XaGc0o0/edit?usp=sharing"",""งบพรบ!DQ14"")"),0)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IFERROR(__xludf.DUMMYFUNCTION("IMPORTRANGE(""https://docs.google.com/spreadsheets/d/1QqKyyYR6Q21VydFLVH3TRQUabQu_ym0Zz7PgGX0-kHA/edit?usp=sharing"",""แผน!EC14"")"),500)</f>
        <v>500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IFERROR(__xludf.DUMMYFUNCTION("IMPORTRANGE(""https://docs.google.com/spreadsheets/d/1QqKyyYR6Q21VydFLVH3TRQUabQu_ym0Zz7PgGX0-kHA/edit?usp=sharing"",""แผน!EB14"")"),50)</f>
        <v>50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IFERROR(__xludf.DUMMYFUNCTION("IMPORTRANGE(""https://docs.google.com/spreadsheets/d/1QqKyyYR6Q21VydFLVH3TRQUabQu_ym0Zz7PgGX0-kHA/edit?usp=sharing"",""แผน!EB14"")"),50)</f>
        <v>50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IFERROR(__xludf.DUMMYFUNCTION("IMPORTRANGE(""https://docs.google.com/spreadsheets/d/1QqKyyYR6Q21VydFLVH3TRQUabQu_ym0Zz7PgGX0-kHA/edit?usp=sharing"",""แผน!EB14"")"),50)</f>
        <v>50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IFERROR(__xludf.DUMMYFUNCTION("IMPORTRANGE(""https://docs.google.com/spreadsheets/d/1QqKyyYR6Q21VydFLVH3TRQUabQu_ym0Zz7PgGX0-kHA/edit?usp=sharing"",""แผน!EB14"")"),50)</f>
        <v>50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IFERROR(__xludf.DUMMYFUNCTION("IMPORTRANGE(""https://docs.google.com/spreadsheets/d/1QqKyyYR6Q21VydFLVH3TRQUabQu_ym0Zz7PgGX0-kHA/edit?usp=sharing"",""แผน!EB14"")"),50)</f>
        <v>50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49120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IFERROR(__xludf.DUMMYFUNCTION("IMPORTRANGE(""https://docs.google.com/spreadsheets/d/1MeEWN-I1oV_STSDYn1IFDPWt_1FKiwhDph83XaGc0o0/edit?usp=sharing"",""งบพรบ!DS14"")"),82400)</f>
        <v>82400</v>
      </c>
      <c r="M303" s="93">
        <f ca="1">IFERROR(__xludf.DUMMYFUNCTION("IMPORTRANGE(""https://docs.google.com/spreadsheets/d/1MeEWN-I1oV_STSDYn1IFDPWt_1FKiwhDph83XaGc0o0/edit?usp=sharing"",""งบพรบ!DX14"")"),49120)</f>
        <v>49120</v>
      </c>
      <c r="N303" s="93">
        <f ca="1">IFERROR(__xludf.DUMMYFUNCTION("IMPORTRANGE(""https://docs.google.com/spreadsheets/d/1MeEWN-I1oV_STSDYn1IFDPWt_1FKiwhDph83XaGc0o0/edit?usp=sharing"",""งบพรบ!DZ14"")"),0)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IFERROR(__xludf.DUMMYFUNCTION("IMPORTRANGE(""https://docs.google.com/spreadsheets/d/1MeEWN-I1oV_STSDYn1IFDPWt_1FKiwhDph83XaGc0o0/edit?usp=sharing"",""งบพรบ!DV14"")"),0)</f>
        <v>0</v>
      </c>
      <c r="M306" s="93">
        <f ca="1">IFERROR(__xludf.DUMMYFUNCTION("IMPORTRANGE(""https://docs.google.com/spreadsheets/d/1MeEWN-I1oV_STSDYn1IFDPWt_1FKiwhDph83XaGc0o0/edit?usp=sharing"",""งบพรบ!DY14"")"),0)</f>
        <v>0</v>
      </c>
      <c r="N306" s="93">
        <f ca="1">IFERROR(__xludf.DUMMYFUNCTION("IMPORTRANGE(""https://docs.google.com/spreadsheets/d/1MeEWN-I1oV_STSDYn1IFDPWt_1FKiwhDph83XaGc0o0/edit?usp=sharing"",""งบพรบ!EA14"")"),0)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IFERROR(__xludf.DUMMYFUNCTION("IMPORTRANGE(""https://docs.google.com/spreadsheets/d/1QqKyyYR6Q21VydFLVH3TRQUabQu_ym0Zz7PgGX0-kHA/edit?usp=sharing"",""แผน!ED14"")"),20)</f>
        <v>20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IFERROR(__xludf.DUMMYFUNCTION("IMPORTRANGE(""https://docs.google.com/spreadsheets/d/1QqKyyYR6Q21VydFLVH3TRQUabQu_ym0Zz7PgGX0-kHA/edit?usp=sharing"",""แผน!ED14"")"),20)</f>
        <v>20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IFERROR(__xludf.DUMMYFUNCTION("IMPORTRANGE(""https://docs.google.com/spreadsheets/d/1QqKyyYR6Q21VydFLVH3TRQUabQu_ym0Zz7PgGX0-kHA/edit?usp=sharing"",""แผน!ED14"")"),20)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IFERROR(__xludf.DUMMYFUNCTION("IMPORTRANGE(""https://docs.google.com/spreadsheets/d/1QqKyyYR6Q21VydFLVH3TRQUabQu_ym0Zz7PgGX0-kHA/edit?usp=sharing"",""แผน!EE14"")"),4)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296000</v>
      </c>
      <c r="M315" s="155">
        <f t="shared" ca="1" si="143"/>
        <v>135000</v>
      </c>
      <c r="N315" s="155">
        <f t="shared" ca="1" si="143"/>
        <v>64520</v>
      </c>
      <c r="O315" s="155">
        <f t="shared" ref="O315:O323" ca="1" si="144">IF(L315&gt;0,N315*100/L315,0)</f>
        <v>21.797297297297298</v>
      </c>
      <c r="P315" s="155">
        <f t="shared" ref="P315:P323" ca="1" si="145">IF(M315&gt;0,N315*100/M315,0)</f>
        <v>47.792592592592591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296000</v>
      </c>
      <c r="M317" s="93">
        <f t="shared" ca="1" si="146"/>
        <v>135000</v>
      </c>
      <c r="N317" s="93">
        <f t="shared" ca="1" si="146"/>
        <v>64520</v>
      </c>
      <c r="O317" s="93">
        <f t="shared" ca="1" si="144"/>
        <v>21.797297297297298</v>
      </c>
      <c r="P317" s="93">
        <f t="shared" ca="1" si="145"/>
        <v>47.792592592592591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296000</v>
      </c>
      <c r="M318" s="466">
        <f t="shared" ca="1" si="147"/>
        <v>135000</v>
      </c>
      <c r="N318" s="466">
        <f t="shared" ca="1" si="147"/>
        <v>64520</v>
      </c>
      <c r="O318" s="466">
        <f t="shared" ca="1" si="144"/>
        <v>21.797297297297298</v>
      </c>
      <c r="P318" s="466">
        <f t="shared" ca="1" si="145"/>
        <v>47.792592592592591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IFERROR(__xludf.DUMMYFUNCTION("IMPORTRANGE(""https://docs.google.com/spreadsheets/d/1MeEWN-I1oV_STSDYn1IFDPWt_1FKiwhDph83XaGc0o0/edit?usp=sharing"",""งบพรบ!EC14"")"),296000)</f>
        <v>296000</v>
      </c>
      <c r="M320" s="93">
        <f ca="1">IFERROR(__xludf.DUMMYFUNCTION("IMPORTRANGE(""https://docs.google.com/spreadsheets/d/1MeEWN-I1oV_STSDYn1IFDPWt_1FKiwhDph83XaGc0o0/edit?usp=sharing"",""งบพรบ!EH14"")"),135000)</f>
        <v>135000</v>
      </c>
      <c r="N320" s="93">
        <f ca="1">IFERROR(__xludf.DUMMYFUNCTION("IMPORTRANGE(""https://docs.google.com/spreadsheets/d/1MeEWN-I1oV_STSDYn1IFDPWt_1FKiwhDph83XaGc0o0/edit?usp=sharing"",""งบพรบ!EJ14"")"),64520)</f>
        <v>64520</v>
      </c>
      <c r="O320" s="93">
        <f t="shared" ca="1" si="144"/>
        <v>21.797297297297298</v>
      </c>
      <c r="P320" s="93">
        <f t="shared" ca="1" si="145"/>
        <v>47.792592592592591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IFERROR(__xludf.DUMMYFUNCTION("IMPORTRANGE(""https://docs.google.com/spreadsheets/d/1MeEWN-I1oV_STSDYn1IFDPWt_1FKiwhDph83XaGc0o0/edit?usp=sharing"",""งบพรบ!EF14"")"),0)</f>
        <v>0</v>
      </c>
      <c r="M323" s="93">
        <f ca="1">IFERROR(__xludf.DUMMYFUNCTION("IMPORTRANGE(""https://docs.google.com/spreadsheets/d/1MeEWN-I1oV_STSDYn1IFDPWt_1FKiwhDph83XaGc0o0/edit?usp=sharing"",""งบพรบ!EI14"")"),0)</f>
        <v>0</v>
      </c>
      <c r="N323" s="93">
        <f ca="1">IFERROR(__xludf.DUMMYFUNCTION("IMPORTRANGE(""https://docs.google.com/spreadsheets/d/1MeEWN-I1oV_STSDYn1IFDPWt_1FKiwhDph83XaGc0o0/edit?usp=sharing"",""งบพรบ!EK14"")"),0)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IFERROR(__xludf.DUMMYFUNCTION("IMPORTRANGE(""https://docs.google.com/spreadsheets/d/1QqKyyYR6Q21VydFLVH3TRQUabQu_ym0Zz7PgGX0-kHA/edit?usp=sharing"",""แผน!EF14"")"),1)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IFERROR(__xludf.DUMMYFUNCTION("IMPORTRANGE(""https://docs.google.com/spreadsheets/d/1QqKyyYR6Q21VydFLVH3TRQUabQu_ym0Zz7PgGX0-kHA/edit?usp=sharing"",""แผน!EG14"")"),7500)</f>
        <v>7500</v>
      </c>
      <c r="J327" s="413">
        <f ca="1">J338+J341+J342+J343</f>
        <v>5731</v>
      </c>
      <c r="K327" s="414">
        <f ca="1">IF(I327&gt;0,J327*100/I327,0)</f>
        <v>76.413333333333327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91000</v>
      </c>
      <c r="N328" s="155">
        <f t="shared" ca="1" si="149"/>
        <v>40940</v>
      </c>
      <c r="O328" s="155">
        <f t="shared" ref="O328:O336" ca="1" si="150">IF(L328&gt;0,N328*100/L328,0)</f>
        <v>22.494505494505493</v>
      </c>
      <c r="P328" s="155">
        <f t="shared" ref="P328:P336" ca="1" si="151">IF(M328&gt;0,N328*100/M328,0)</f>
        <v>44.989010989010985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182000</v>
      </c>
      <c r="M330" s="93">
        <f t="shared" ca="1" si="152"/>
        <v>91000</v>
      </c>
      <c r="N330" s="93">
        <f t="shared" ca="1" si="152"/>
        <v>40940</v>
      </c>
      <c r="O330" s="93">
        <f t="shared" ca="1" si="150"/>
        <v>22.494505494505493</v>
      </c>
      <c r="P330" s="93">
        <f t="shared" ca="1" si="151"/>
        <v>44.989010989010985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91000</v>
      </c>
      <c r="N331" s="466">
        <f t="shared" ca="1" si="153"/>
        <v>40940</v>
      </c>
      <c r="O331" s="466">
        <f t="shared" ca="1" si="150"/>
        <v>22.494505494505493</v>
      </c>
      <c r="P331" s="466">
        <f t="shared" ca="1" si="151"/>
        <v>44.989010989010985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IFERROR(__xludf.DUMMYFUNCTION("IMPORTRANGE(""https://docs.google.com/spreadsheets/d/1MeEWN-I1oV_STSDYn1IFDPWt_1FKiwhDph83XaGc0o0/edit?usp=sharing"",""งบพรบ!EM14"")"),182000)</f>
        <v>182000</v>
      </c>
      <c r="M333" s="93">
        <f ca="1">IFERROR(__xludf.DUMMYFUNCTION("IMPORTRANGE(""https://docs.google.com/spreadsheets/d/1MeEWN-I1oV_STSDYn1IFDPWt_1FKiwhDph83XaGc0o0/edit?usp=sharing"",""งบพรบ!ER14"")"),91000)</f>
        <v>91000</v>
      </c>
      <c r="N333" s="93">
        <f ca="1">IFERROR(__xludf.DUMMYFUNCTION("IMPORTRANGE(""https://docs.google.com/spreadsheets/d/1MeEWN-I1oV_STSDYn1IFDPWt_1FKiwhDph83XaGc0o0/edit?usp=sharing"",""งบพรบ!ET14"")"),40940)</f>
        <v>40940</v>
      </c>
      <c r="O333" s="93">
        <f t="shared" ca="1" si="150"/>
        <v>22.494505494505493</v>
      </c>
      <c r="P333" s="93">
        <f t="shared" ca="1" si="151"/>
        <v>44.989010989010985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IFERROR(__xludf.DUMMYFUNCTION("IMPORTRANGE(""https://docs.google.com/spreadsheets/d/1MeEWN-I1oV_STSDYn1IFDPWt_1FKiwhDph83XaGc0o0/edit?usp=sharing"",""งบพรบ!EP14"")"),0)</f>
        <v>0</v>
      </c>
      <c r="M336" s="93">
        <f ca="1">IFERROR(__xludf.DUMMYFUNCTION("IMPORTRANGE(""https://docs.google.com/spreadsheets/d/1MeEWN-I1oV_STSDYn1IFDPWt_1FKiwhDph83XaGc0o0/edit?usp=sharing"",""งบพรบ!ES14"")"),0)</f>
        <v>0</v>
      </c>
      <c r="N336" s="93">
        <f ca="1">IFERROR(__xludf.DUMMYFUNCTION("IMPORTRANGE(""https://docs.google.com/spreadsheets/d/1MeEWN-I1oV_STSDYn1IFDPWt_1FKiwhDph83XaGc0o0/edit?usp=sharing"",""งบพรบ!EU14"")"),0)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IFERROR(__xludf.DUMMYFUNCTION("IMPORTRANGE(""https://docs.google.com/spreadsheets/d/1QqKyyYR6Q21VydFLVH3TRQUabQu_ym0Zz7PgGX0-kHA/edit?usp=sharing"",""แผน!EG14"")"),7500)</f>
        <v>7500</v>
      </c>
      <c r="J338" s="270">
        <f ca="1">IFERROR(__xludf.DUMMYFUNCTION("IMPORTRANGE(""https://docs.google.com/spreadsheets/d/1kVcqe37tkHyjCSG3S0O1AXqVkqjo8mSIZil3BcpIysc/edit?usp=sharing"",""ศูนย์!D14"")"),5657)</f>
        <v>5657</v>
      </c>
      <c r="K338" s="466">
        <f ca="1">IF(I338&gt;0,J338*100/I338,0)</f>
        <v>75.426666666666662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IFERROR(__xludf.DUMMYFUNCTION("IMPORTRANGE(""https://docs.google.com/spreadsheets/d/1QqKyyYR6Q21VydFLVH3TRQUabQu_ym0Zz7PgGX0-kHA/edit?usp=sharing"",""แผน!EH14"")"),7)</f>
        <v>7</v>
      </c>
      <c r="J340" s="270">
        <f ca="1">IFERROR(__xludf.DUMMYFUNCTION("IMPORTRANGE(""https://docs.google.com/spreadsheets/d/1kVcqe37tkHyjCSG3S0O1AXqVkqjo8mSIZil3BcpIysc/edit?usp=sharing"",""ศูนย์!E14"")"),2)</f>
        <v>2</v>
      </c>
      <c r="K340" s="466">
        <f ca="1">IF(I340&gt;0,J340*100/I340,0)</f>
        <v>28.571428571428573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IFERROR(__xludf.DUMMYFUNCTION("IMPORTRANGE(""https://docs.google.com/spreadsheets/d/1kVcqe37tkHyjCSG3S0O1AXqVkqjo8mSIZil3BcpIysc/edit?usp=sharing"",""ศูนย์!F14"")"),74)</f>
        <v>74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IFERROR(__xludf.DUMMYFUNCTION("IMPORTRANGE(""https://docs.google.com/spreadsheets/d/1kVcqe37tkHyjCSG3S0O1AXqVkqjo8mSIZil3BcpIysc/edit?usp=sharing"",""ศูนย์!H14"")"),0)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1622080</v>
      </c>
      <c r="M345" s="155">
        <f t="shared" ca="1" si="155"/>
        <v>840640</v>
      </c>
      <c r="N345" s="155">
        <f t="shared" ca="1" si="155"/>
        <v>360260</v>
      </c>
      <c r="O345" s="155">
        <f t="shared" ref="O345:O353" ca="1" si="156">IF(L345&gt;0,N345*100/L345,0)</f>
        <v>22.209755375813771</v>
      </c>
      <c r="P345" s="155">
        <f t="shared" ref="P345:P353" ca="1" si="157">IF(M345&gt;0,N345*100/M345,0)</f>
        <v>42.855443471640655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1622080</v>
      </c>
      <c r="M347" s="93">
        <f t="shared" ca="1" si="158"/>
        <v>840640</v>
      </c>
      <c r="N347" s="93">
        <f t="shared" ca="1" si="158"/>
        <v>360260</v>
      </c>
      <c r="O347" s="93">
        <f t="shared" ca="1" si="156"/>
        <v>22.209755375813771</v>
      </c>
      <c r="P347" s="93">
        <f t="shared" ca="1" si="157"/>
        <v>42.855443471640655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1562080</v>
      </c>
      <c r="M348" s="466">
        <f t="shared" ca="1" si="159"/>
        <v>781040</v>
      </c>
      <c r="N348" s="466">
        <f t="shared" ca="1" si="159"/>
        <v>300660</v>
      </c>
      <c r="O348" s="466">
        <f t="shared" ca="1" si="156"/>
        <v>19.247413704803851</v>
      </c>
      <c r="P348" s="466">
        <f t="shared" ca="1" si="157"/>
        <v>38.494827409607701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IFERROR(__xludf.DUMMYFUNCTION("IMPORTRANGE(""https://docs.google.com/spreadsheets/d/1MeEWN-I1oV_STSDYn1IFDPWt_1FKiwhDph83XaGc0o0/edit?usp=sharing"",""งบพรบ!EW14"")"),1562080)</f>
        <v>1562080</v>
      </c>
      <c r="M350" s="93">
        <f ca="1">IFERROR(__xludf.DUMMYFUNCTION("IMPORTRANGE(""https://docs.google.com/spreadsheets/d/1MeEWN-I1oV_STSDYn1IFDPWt_1FKiwhDph83XaGc0o0/edit?usp=sharing"",""งบพรบ!FB14"")"),781040)</f>
        <v>781040</v>
      </c>
      <c r="N350" s="93">
        <f ca="1">IFERROR(__xludf.DUMMYFUNCTION("IMPORTRANGE(""https://docs.google.com/spreadsheets/d/1MeEWN-I1oV_STSDYn1IFDPWt_1FKiwhDph83XaGc0o0/edit?usp=sharing"",""งบพรบ!FD14"")"),300660)</f>
        <v>300660</v>
      </c>
      <c r="O350" s="93">
        <f t="shared" ca="1" si="156"/>
        <v>19.247413704803851</v>
      </c>
      <c r="P350" s="93">
        <f t="shared" ca="1" si="157"/>
        <v>38.494827409607701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59600</v>
      </c>
      <c r="N351" s="466">
        <f t="shared" ca="1" si="160"/>
        <v>59600</v>
      </c>
      <c r="O351" s="466">
        <f t="shared" ca="1" si="156"/>
        <v>99.333333333333329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IFERROR(__xludf.DUMMYFUNCTION("IMPORTRANGE(""https://docs.google.com/spreadsheets/d/1MeEWN-I1oV_STSDYn1IFDPWt_1FKiwhDph83XaGc0o0/edit?usp=sharing"",""งบพรบ!EZ14"")"),60000)</f>
        <v>60000</v>
      </c>
      <c r="M353" s="93">
        <f ca="1">IFERROR(__xludf.DUMMYFUNCTION("IMPORTRANGE(""https://docs.google.com/spreadsheets/d/1MeEWN-I1oV_STSDYn1IFDPWt_1FKiwhDph83XaGc0o0/edit?usp=sharing"",""งบพรบ!FC14"")"),59600)</f>
        <v>59600</v>
      </c>
      <c r="N353" s="93">
        <f ca="1">IFERROR(__xludf.DUMMYFUNCTION("IMPORTRANGE(""https://docs.google.com/spreadsheets/d/1MeEWN-I1oV_STSDYn1IFDPWt_1FKiwhDph83XaGc0o0/edit?usp=sharing"",""งบพรบ!FE14"")"),59600)</f>
        <v>59600</v>
      </c>
      <c r="O353" s="93">
        <f t="shared" ca="1" si="156"/>
        <v>99.333333333333329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IFERROR(__xludf.DUMMYFUNCTION("IMPORTRANGE(""https://docs.google.com/spreadsheets/d/1QqKyyYR6Q21VydFLVH3TRQUabQu_ym0Zz7PgGX0-kHA/edit?usp=sharing"",""แผน!EP14"")"),560)</f>
        <v>560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IFERROR(__xludf.DUMMYFUNCTION("IMPORTRANGE(""https://docs.google.com/spreadsheets/d/1XWAQStnk-4SwqDmLtmXYiTMKHgktTP8We1SCoS47DrQ/edit?usp=sharing"",""จัดที่ดิน!W14"")"),43)</f>
        <v>43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IFERROR(__xludf.DUMMYFUNCTION("IMPORTRANGE(""https://docs.google.com/spreadsheets/d/1QqKyyYR6Q21VydFLVH3TRQUabQu_ym0Zz7PgGX0-kHA/edit?usp=sharing"",""แผน!EO14"")"),5600)</f>
        <v>5600</v>
      </c>
      <c r="J359" s="270">
        <f ca="1">IFERROR(__xludf.DUMMYFUNCTION("IMPORTRANGE(""https://docs.google.com/spreadsheets/d/1XWAQStnk-4SwqDmLtmXYiTMKHgktTP8We1SCoS47DrQ/edit?usp=sharing"",""จัดที่ดิน!X14"")"),293.57)</f>
        <v>293.57</v>
      </c>
      <c r="K359" s="466">
        <f t="shared" ca="1" si="161"/>
        <v>5.2423214285714286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IFERROR(__xludf.DUMMYFUNCTION("IMPORTRANGE(""https://docs.google.com/spreadsheets/d/1QqKyyYR6Q21VydFLVH3TRQUabQu_ym0Zz7PgGX0-kHA/edit?usp=sharing"",""แผน!EP14"")"),560)</f>
        <v>560</v>
      </c>
      <c r="J360" s="270">
        <f ca="1">IFERROR(__xludf.DUMMYFUNCTION("IMPORTRANGE(""https://docs.google.com/spreadsheets/d/1XWAQStnk-4SwqDmLtmXYiTMKHgktTP8We1SCoS47DrQ/edit?usp=sharing"",""จัดที่ดิน!Y14"")"),3)</f>
        <v>3</v>
      </c>
      <c r="K360" s="466">
        <f t="shared" ca="1" si="161"/>
        <v>0.5357142857142857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IFERROR(__xludf.DUMMYFUNCTION("IMPORTRANGE(""https://docs.google.com/spreadsheets/d/1XWAQStnk-4SwqDmLtmXYiTMKHgktTP8We1SCoS47DrQ/edit?usp=sharing"",""จัดที่ดิน!Z14"")"),24.95)</f>
        <v>24.95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IFERROR(__xludf.DUMMYFUNCTION("IMPORTRANGE(""https://docs.google.com/spreadsheets/d/1QqKyyYR6Q21VydFLVH3TRQUabQu_ym0Zz7PgGX0-kHA/edit?usp=sharing"",""แผน!EP14"")"),560)</f>
        <v>560</v>
      </c>
      <c r="J362" s="270">
        <f ca="1">IFERROR(__xludf.DUMMYFUNCTION("IMPORTRANGE(""https://docs.google.com/spreadsheets/d/1XWAQStnk-4SwqDmLtmXYiTMKHgktTP8We1SCoS47DrQ/edit?usp=sharing"",""จัดที่ดิน!AA14"")"),0)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IFERROR(__xludf.DUMMYFUNCTION("IMPORTRANGE(""https://docs.google.com/spreadsheets/d/1XWAQStnk-4SwqDmLtmXYiTMKHgktTP8We1SCoS47DrQ/edit?usp=sharing"",""จัดที่ดิน!AB14"")"),0)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1110</v>
      </c>
      <c r="J364" s="447">
        <f t="shared" ca="1" si="162"/>
        <v>11</v>
      </c>
      <c r="K364" s="448">
        <f t="shared" ca="1" si="161"/>
        <v>0.99099099099099097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IFERROR(__xludf.DUMMYFUNCTION("IMPORTRANGE(""https://docs.google.com/spreadsheets/d/1QqKyyYR6Q21VydFLVH3TRQUabQu_ym0Zz7PgGX0-kHA/edit?usp=sharing"",""แผน!EJ14"")"),160)</f>
        <v>160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IFERROR(__xludf.DUMMYFUNCTION("IMPORTRANGE(""https://docs.google.com/spreadsheets/d/1XWAQStnk-4SwqDmLtmXYiTMKHgktTP8We1SCoS47DrQ/edit?usp=sharing"",""จัดที่ดิน!E14"")"),11)</f>
        <v>11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IFERROR(__xludf.DUMMYFUNCTION("IMPORTRANGE(""https://docs.google.com/spreadsheets/d/1QqKyyYR6Q21VydFLVH3TRQUabQu_ym0Zz7PgGX0-kHA/edit?usp=sharing"",""แผน!EI14"")"),1600)</f>
        <v>1600</v>
      </c>
      <c r="J369" s="270">
        <f ca="1">IFERROR(__xludf.DUMMYFUNCTION("IMPORTRANGE(""https://docs.google.com/spreadsheets/d/1XWAQStnk-4SwqDmLtmXYiTMKHgktTP8We1SCoS47DrQ/edit?usp=sharing"",""จัดที่ดิน!F14"")"),56.78)</f>
        <v>56.78</v>
      </c>
      <c r="K369" s="466">
        <f t="shared" ca="1" si="163"/>
        <v>3.5487500000000001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IFERROR(__xludf.DUMMYFUNCTION("IMPORTRANGE(""https://docs.google.com/spreadsheets/d/1QqKyyYR6Q21VydFLVH3TRQUabQu_ym0Zz7PgGX0-kHA/edit?usp=sharing"",""แผน!EJ14"")"),160)</f>
        <v>160</v>
      </c>
      <c r="J370" s="270">
        <f ca="1">IFERROR(__xludf.DUMMYFUNCTION("IMPORTRANGE(""https://docs.google.com/spreadsheets/d/1XWAQStnk-4SwqDmLtmXYiTMKHgktTP8We1SCoS47DrQ/edit?usp=sharing"",""จัดที่ดิน!G14"")"),3)</f>
        <v>3</v>
      </c>
      <c r="K370" s="466">
        <f t="shared" ca="1" si="163"/>
        <v>1.875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IFERROR(__xludf.DUMMYFUNCTION("IMPORTRANGE(""https://docs.google.com/spreadsheets/d/1XWAQStnk-4SwqDmLtmXYiTMKHgktTP8We1SCoS47DrQ/edit?usp=sharing"",""จัดที่ดิน!H14"")"),24.95)</f>
        <v>24.95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IFERROR(__xludf.DUMMYFUNCTION("IMPORTRANGE(""https://docs.google.com/spreadsheets/d/1QqKyyYR6Q21VydFLVH3TRQUabQu_ym0Zz7PgGX0-kHA/edit?usp=sharing"",""แผน!EJ14"")"),160)</f>
        <v>160</v>
      </c>
      <c r="J372" s="270">
        <f ca="1">IFERROR(__xludf.DUMMYFUNCTION("IMPORTRANGE(""https://docs.google.com/spreadsheets/d/1XWAQStnk-4SwqDmLtmXYiTMKHgktTP8We1SCoS47DrQ/edit?usp=sharing"",""จัดที่ดิน!I14"")"),0)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IFERROR(__xludf.DUMMYFUNCTION("IMPORTRANGE(""https://docs.google.com/spreadsheets/d/1XWAQStnk-4SwqDmLtmXYiTMKHgktTP8We1SCoS47DrQ/edit?usp=sharing"",""จัดที่ดิน!J14"")"),0)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IFERROR(__xludf.DUMMYFUNCTION("IMPORTRANGE(""https://docs.google.com/spreadsheets/d/1QqKyyYR6Q21VydFLVH3TRQUabQu_ym0Zz7PgGX0-kHA/edit?usp=sharing"",""แผน!EU14"")"),950)</f>
        <v>950</v>
      </c>
      <c r="J374" s="459">
        <f ca="1">J381</f>
        <v>11</v>
      </c>
      <c r="K374" s="460">
        <f t="shared" ca="1" si="163"/>
        <v>1.1578947368421053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IFERROR(__xludf.DUMMYFUNCTION("IMPORTRANGE(""https://docs.google.com/spreadsheets/d/1XWAQStnk-4SwqDmLtmXYiTMKHgktTP8We1SCoS47DrQ/edit?usp=sharing"",""จัดที่ดิน!AH14"")"),32)</f>
        <v>32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IFERROR(__xludf.DUMMYFUNCTION("IMPORTRANGE(""https://docs.google.com/spreadsheets/d/1QqKyyYR6Q21VydFLVH3TRQUabQu_ym0Zz7PgGX0-kHA/edit?usp=sharing"",""แผน!ET14"")"),4000)</f>
        <v>4000</v>
      </c>
      <c r="J378" s="270">
        <f ca="1">IFERROR(__xludf.DUMMYFUNCTION("IMPORTRANGE(""https://docs.google.com/spreadsheets/d/1XWAQStnk-4SwqDmLtmXYiTMKHgktTP8We1SCoS47DrQ/edit?usp=sharing"",""จัดที่ดิน!AI14"")"),236.79)</f>
        <v>236.79</v>
      </c>
      <c r="K378" s="466">
        <f t="shared" ca="1" si="164"/>
        <v>5.9197499999999996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IFERROR(__xludf.DUMMYFUNCTION("IMPORTRANGE(""https://docs.google.com/spreadsheets/d/1QqKyyYR6Q21VydFLVH3TRQUabQu_ym0Zz7PgGX0-kHA/edit?usp=sharing"",""แผน!EU14"")"),950)</f>
        <v>950</v>
      </c>
      <c r="J379" s="270">
        <f ca="1">IFERROR(__xludf.DUMMYFUNCTION("IMPORTRANGE(""https://docs.google.com/spreadsheets/d/1XWAQStnk-4SwqDmLtmXYiTMKHgktTP8We1SCoS47DrQ/edit?usp=sharing"",""จัดที่ดิน!AJ14"")"),11)</f>
        <v>11</v>
      </c>
      <c r="K379" s="466">
        <f t="shared" ca="1" si="164"/>
        <v>1.1578947368421053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IFERROR(__xludf.DUMMYFUNCTION("IMPORTRANGE(""https://docs.google.com/spreadsheets/d/1XWAQStnk-4SwqDmLtmXYiTMKHgktTP8We1SCoS47DrQ/edit?usp=sharing"",""จัดที่ดิน!AK14"")"),156.77)</f>
        <v>156.77000000000001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IFERROR(__xludf.DUMMYFUNCTION("IMPORTRANGE(""https://docs.google.com/spreadsheets/d/1QqKyyYR6Q21VydFLVH3TRQUabQu_ym0Zz7PgGX0-kHA/edit?usp=sharing"",""แผน!EU14"")"),950)</f>
        <v>950</v>
      </c>
      <c r="J381" s="270">
        <f ca="1">IFERROR(__xludf.DUMMYFUNCTION("IMPORTRANGE(""https://docs.google.com/spreadsheets/d/1XWAQStnk-4SwqDmLtmXYiTMKHgktTP8We1SCoS47DrQ/edit?usp=sharing"",""จัดที่ดิน!AL14"")"),11)</f>
        <v>11</v>
      </c>
      <c r="K381" s="466">
        <f t="shared" ca="1" si="164"/>
        <v>1.1578947368421053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IFERROR(__xludf.DUMMYFUNCTION("IMPORTRANGE(""https://docs.google.com/spreadsheets/d/1XWAQStnk-4SwqDmLtmXYiTMKHgktTP8We1SCoS47DrQ/edit?usp=sharing"",""จัดที่ดิน!AM14"")"),156.77)</f>
        <v>156.77000000000001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IFERROR(__xludf.DUMMYFUNCTION("IMPORTRANGE(""https://docs.google.com/spreadsheets/d/1QqKyyYR6Q21VydFLVH3TRQUabQu_ym0Zz7PgGX0-kHA/edit?usp=sharing"",""แผน!EW14"")"),185)</f>
        <v>185</v>
      </c>
      <c r="J385" s="469">
        <f ca="1">IFERROR(__xludf.DUMMYFUNCTION("IMPORTRANGE(""https://docs.google.com/spreadsheets/d/1XWAQStnk-4SwqDmLtmXYiTMKHgktTP8We1SCoS47DrQ/edit?usp=sharing"",""จัดที่ดิน!AP14"")"),0)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IFERROR(__xludf.DUMMYFUNCTION("IMPORTRANGE(""https://docs.google.com/spreadsheets/d/1MeEWN-I1oV_STSDYn1IFDPWt_1FKiwhDph83XaGc0o0/edit?usp=sharing"",""งบพรบ!FG14"")"),0)</f>
        <v>0</v>
      </c>
      <c r="M394" s="93">
        <f ca="1">IFERROR(__xludf.DUMMYFUNCTION("IMPORTRANGE(""https://docs.google.com/spreadsheets/d/1MeEWN-I1oV_STSDYn1IFDPWt_1FKiwhDph83XaGc0o0/edit?usp=sharing"",""งบพรบ!FL14"")"),0)</f>
        <v>0</v>
      </c>
      <c r="N394" s="93">
        <f ca="1">IFERROR(__xludf.DUMMYFUNCTION("IMPORTRANGE(""https://docs.google.com/spreadsheets/d/1MeEWN-I1oV_STSDYn1IFDPWt_1FKiwhDph83XaGc0o0/edit?usp=sharing"",""งบพรบ!FN14"")"),0)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IFERROR(__xludf.DUMMYFUNCTION("IMPORTRANGE(""https://docs.google.com/spreadsheets/d/1MeEWN-I1oV_STSDYn1IFDPWt_1FKiwhDph83XaGc0o0/edit?usp=sharing"",""งบพรบ!FJ14"")"),0)</f>
        <v>0</v>
      </c>
      <c r="M397" s="93">
        <f ca="1">IFERROR(__xludf.DUMMYFUNCTION("IMPORTRANGE(""https://docs.google.com/spreadsheets/d/1MeEWN-I1oV_STSDYn1IFDPWt_1FKiwhDph83XaGc0o0/edit?usp=sharing"",""งบพรบ!FM14"")"),0)</f>
        <v>0</v>
      </c>
      <c r="N397" s="93">
        <f ca="1">IFERROR(__xludf.DUMMYFUNCTION("IMPORTRANGE(""https://docs.google.com/spreadsheets/d/1MeEWN-I1oV_STSDYn1IFDPWt_1FKiwhDph83XaGc0o0/edit?usp=sharing"",""งบพรบ!FO14"")"),0)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IFERROR(__xludf.DUMMYFUNCTION("IMPORTRANGE(""https://docs.google.com/spreadsheets/d/1MeEWN-I1oV_STSDYn1IFDPWt_1FKiwhDph83XaGc0o0/edit?usp=sharing"",""งบพรบ!FQ14"")"),0)</f>
        <v>0</v>
      </c>
      <c r="M407" s="93">
        <f ca="1">IFERROR(__xludf.DUMMYFUNCTION("IMPORTRANGE(""https://docs.google.com/spreadsheets/d/1MeEWN-I1oV_STSDYn1IFDPWt_1FKiwhDph83XaGc0o0/edit?usp=sharing"",""งบพรบ!FV14"")"),0)</f>
        <v>0</v>
      </c>
      <c r="N407" s="93">
        <f ca="1">IFERROR(__xludf.DUMMYFUNCTION("IMPORTRANGE(""https://docs.google.com/spreadsheets/d/1MeEWN-I1oV_STSDYn1IFDPWt_1FKiwhDph83XaGc0o0/edit?usp=sharing"",""งบพรบ!FX14"")"),0)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IFERROR(__xludf.DUMMYFUNCTION("IMPORTRANGE(""https://docs.google.com/spreadsheets/d/1MeEWN-I1oV_STSDYn1IFDPWt_1FKiwhDph83XaGc0o0/edit?usp=sharing"",""งบพรบ!FT14"")"),0)</f>
        <v>0</v>
      </c>
      <c r="M410" s="93">
        <f ca="1">IFERROR(__xludf.DUMMYFUNCTION("IMPORTRANGE(""https://docs.google.com/spreadsheets/d/1MeEWN-I1oV_STSDYn1IFDPWt_1FKiwhDph83XaGc0o0/edit?usp=sharing"",""งบพรบ!FW14"")"),0)</f>
        <v>0</v>
      </c>
      <c r="N410" s="93">
        <f ca="1">IFERROR(__xludf.DUMMYFUNCTION("IMPORTRANGE(""https://docs.google.com/spreadsheets/d/1MeEWN-I1oV_STSDYn1IFDPWt_1FKiwhDph83XaGc0o0/edit?usp=sharing"",""งบพรบ!FY14"")"),0)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2987469</v>
      </c>
      <c r="M414" s="517">
        <f t="shared" si="181"/>
        <v>0</v>
      </c>
      <c r="N414" s="517">
        <f t="shared" si="181"/>
        <v>788525.51</v>
      </c>
      <c r="O414" s="517">
        <f ca="1">IF(L414&gt;0,N414*100/L414,0)</f>
        <v>26.39443321420239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60</v>
      </c>
      <c r="J417" s="533">
        <f t="shared" ca="1" si="182"/>
        <v>60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si="184"/>
        <v>0</v>
      </c>
      <c r="N419" s="155">
        <f t="shared" si="184"/>
        <v>169620</v>
      </c>
      <c r="O419" s="155">
        <f t="shared" ref="O419:O424" ca="1" si="185">IF(L419&gt;0,N419*100/L419,0)</f>
        <v>89.936373276776251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188600</v>
      </c>
      <c r="M421" s="93">
        <f t="shared" si="187"/>
        <v>0</v>
      </c>
      <c r="N421" s="93">
        <f t="shared" si="187"/>
        <v>169620</v>
      </c>
      <c r="O421" s="93">
        <f t="shared" ca="1" si="185"/>
        <v>89.936373276776251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si="188"/>
        <v>0</v>
      </c>
      <c r="N422" s="466">
        <f t="shared" si="188"/>
        <v>169620</v>
      </c>
      <c r="O422" s="466">
        <f t="shared" ca="1" si="185"/>
        <v>89.936373276776251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IFERROR(__xludf.DUMMYFUNCTION("IMPORTRANGE(""https://docs.google.com/spreadsheets/d/1QqKyyYR6Q21VydFLVH3TRQUabQu_ym0Zz7PgGX0-kHA/edit?usp=sharing"",""แผน!EY14"")"),188600)</f>
        <v>188600</v>
      </c>
      <c r="M424" s="93">
        <v>0</v>
      </c>
      <c r="N424" s="93">
        <f>N425+N426+N427+N428</f>
        <v>169620</v>
      </c>
      <c r="O424" s="93">
        <f t="shared" ca="1" si="185"/>
        <v>89.936373276776251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158340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11280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60</v>
      </c>
      <c r="J433" s="647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2</v>
      </c>
      <c r="J434" s="647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IFERROR(__xludf.DUMMYFUNCTION("IMPORTRANGE(""https://docs.google.com/spreadsheets/d/1QqKyyYR6Q21VydFLVH3TRQUabQu_ym0Zz7PgGX0-kHA/edit?usp=sharing"",""แผน!FC14"")"),60)</f>
        <v>60</v>
      </c>
      <c r="J435" s="549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IFERROR(__xludf.DUMMYFUNCTION("IMPORTRANGE(""https://docs.google.com/spreadsheets/d/1QqKyyYR6Q21VydFLVH3TRQUabQu_ym0Zz7PgGX0-kHA/edit?usp=sharing"",""แผน!FD14"")"),40)</f>
        <v>40</v>
      </c>
      <c r="J437" s="549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IFERROR(__xludf.DUMMYFUNCTION("IMPORTRANGE(""https://docs.google.com/spreadsheets/d/1QqKyyYR6Q21VydFLVH3TRQUabQu_ym0Zz7PgGX0-kHA/edit?usp=sharing"",""แผน!FE14"")"),1)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IFERROR(__xludf.DUMMYFUNCTION("IMPORTRANGE(""https://docs.google.com/spreadsheets/d/1QqKyyYR6Q21VydFLVH3TRQUabQu_ym0Zz7PgGX0-kHA/edit?usp=sharing"",""แผน!FF14"")"),20)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IFERROR(__xludf.DUMMYFUNCTION("IMPORTRANGE(""https://docs.google.com/spreadsheets/d/1QqKyyYR6Q21VydFLVH3TRQUabQu_ym0Zz7PgGX0-kHA/edit?usp=sharing"",""แผน!FG14"")"),1)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IFERROR(__xludf.DUMMYFUNCTION("IMPORTRANGE(""https://docs.google.com/spreadsheets/d/1QqKyyYR6Q21VydFLVH3TRQUabQu_ym0Zz7PgGX0-kHA/edit?usp=sharing"",""แผน!FH14"")"),0)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 hidden="1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 hidden="1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 hidden="1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 hidden="1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 hidden="1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 hidden="1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 hidden="1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 hidden="1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 hidden="1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 hidden="1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IFERROR(__xludf.DUMMYFUNCTION("IMPORTRANGE(""https://docs.google.com/spreadsheets/d/1QqKyyYR6Q21VydFLVH3TRQUabQu_ym0Zz7PgGX0-kHA/edit?usp=sharing"",""แผน!FN14"")"),0)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 hidden="1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 hidden="1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IFERROR(__xludf.DUMMYFUNCTION("IMPORTRANGE(""https://docs.google.com/spreadsheets/d/1QqKyyYR6Q21VydFLVH3TRQUabQu_ym0Zz7PgGX0-kHA/edit?usp=sharing"",""แผน!FO14"")"),0)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 hidden="1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IFERROR(__xludf.DUMMYFUNCTION("IMPORTRANGE(""https://docs.google.com/spreadsheets/d/1QqKyyYR6Q21VydFLVH3TRQUabQu_ym0Zz7PgGX0-kHA/edit?usp=sharing"",""แผน!FO14"")"),0)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 hidden="1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IFERROR(__xludf.DUMMYFUNCTION("IMPORTRANGE(""https://docs.google.com/spreadsheets/d/1QqKyyYR6Q21VydFLVH3TRQUabQu_ym0Zz7PgGX0-kHA/edit?usp=sharing"",""แผน!FN14"")"),0)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IFERROR(__xludf.DUMMYFUNCTION("IMPORTRANGE(""https://docs.google.com/spreadsheets/d/1QqKyyYR6Q21VydFLVH3TRQUabQu_ym0Zz7PgGX0-kHA/edit?usp=sharing"",""แผน!FX14"")"),131)</f>
        <v>131</v>
      </c>
      <c r="J465" s="555">
        <f>J485+J489+J492</f>
        <v>118</v>
      </c>
      <c r="K465" s="556">
        <f t="shared" ref="K465:K466" ca="1" si="205">IF(I465&gt;0,J465*100/I465,0)</f>
        <v>90.07633587786259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IFERROR(__xludf.DUMMYFUNCTION("IMPORTRANGE(""https://docs.google.com/spreadsheets/d/1QqKyyYR6Q21VydFLVH3TRQUabQu_ym0Zz7PgGX0-kHA/edit?usp=sharing"",""แผน!FW14"")"),1300)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1167958</v>
      </c>
      <c r="M467" s="195">
        <f t="shared" si="206"/>
        <v>0</v>
      </c>
      <c r="N467" s="195">
        <f t="shared" si="206"/>
        <v>138691</v>
      </c>
      <c r="O467" s="195">
        <f t="shared" ref="O467:O472" ca="1" si="207">IF(L467&gt;0,N467*100/L467,0)</f>
        <v>11.874656451687475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1167958</v>
      </c>
      <c r="M469" s="93">
        <f t="shared" si="209"/>
        <v>0</v>
      </c>
      <c r="N469" s="93">
        <f t="shared" si="209"/>
        <v>138691</v>
      </c>
      <c r="O469" s="93">
        <f t="shared" ca="1" si="207"/>
        <v>11.874656451687475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1167958</v>
      </c>
      <c r="M470" s="466">
        <f t="shared" si="210"/>
        <v>0</v>
      </c>
      <c r="N470" s="466">
        <f t="shared" si="210"/>
        <v>138691</v>
      </c>
      <c r="O470" s="466">
        <f t="shared" ca="1" si="207"/>
        <v>11.874656451687475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IFERROR(__xludf.DUMMYFUNCTION("IMPORTRANGE(""https://docs.google.com/spreadsheets/d/1QqKyyYR6Q21VydFLVH3TRQUabQu_ym0Zz7PgGX0-kHA/edit?usp=sharing"",""แผน!FS14"")"),1167958)</f>
        <v>1167958</v>
      </c>
      <c r="M472" s="93">
        <v>0</v>
      </c>
      <c r="N472" s="93">
        <f>N473+N474+N475+N476</f>
        <v>138691</v>
      </c>
      <c r="O472" s="93">
        <f t="shared" ca="1" si="207"/>
        <v>11.874656451687475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101451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26000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11240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IFERROR(__xludf.DUMMYFUNCTION("IMPORTRANGE(""https://docs.google.com/spreadsheets/d/1QqKyyYR6Q21VydFLVH3TRQUabQu_ym0Zz7PgGX0-kHA/edit?usp=sharing"",""แผน!FY14"")"),1170)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IFERROR(__xludf.DUMMYFUNCTION("IMPORTRANGE(""https://docs.google.com/spreadsheets/d/1QqKyyYR6Q21VydFLVH3TRQUabQu_ym0Zz7PgGX0-kHA/edit?usp=sharing"",""แผน!FZ14"")"),117)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IFERROR(__xludf.DUMMYFUNCTION("IMPORTRANGE(""https://docs.google.com/spreadsheets/d/1QqKyyYR6Q21VydFLVH3TRQUabQu_ym0Zz7PgGX0-kHA/edit?usp=sharing"",""แผน!GA14"")"),130)</f>
        <v>130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IFERROR(__xludf.DUMMYFUNCTION("IMPORTRANGE(""https://docs.google.com/spreadsheets/d/1QqKyyYR6Q21VydFLVH3TRQUabQu_ym0Zz7PgGX0-kHA/edit?usp=sharing"",""แผน!GB14"")"),13)</f>
        <v>13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IFERROR(__xludf.DUMMYFUNCTION("IMPORTRANGE(""https://docs.google.com/spreadsheets/d/1QqKyyYR6Q21VydFLVH3TRQUabQu_ym0Zz7PgGX0-kHA/edit?usp=sharing"",""แผน!GC14"")"),1)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IFERROR(__xludf.DUMMYFUNCTION("IMPORTRANGE(""https://docs.google.com/spreadsheets/d/1QqKyyYR6Q21VydFLVH3TRQUabQu_ym0Zz7PgGX0-kHA/edit?usp=sharing"",""แผน!FY14"")"),1170)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IFERROR(__xludf.DUMMYFUNCTION("IMPORTRANGE(""https://docs.google.com/spreadsheets/d/1QqKyyYR6Q21VydFLVH3TRQUabQu_ym0Zz7PgGX0-kHA/edit?usp=sharing"",""แผน!GA14"")"),130)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IFERROR(__xludf.DUMMYFUNCTION("IMPORTRANGE(""https://docs.google.com/spreadsheets/d/1QqKyyYR6Q21VydFLVH3TRQUabQu_ym0Zz7PgGX0-kHA/edit?usp=sharing"",""แผน!GU14"")"),0)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IFERROR(__xludf.DUMMYFUNCTION("IMPORTRANGE(""https://docs.google.com/spreadsheets/d/1QqKyyYR6Q21VydFLVH3TRQUabQu_ym0Zz7PgGX0-kHA/edit?usp=sharing"",""แผน!GV14"")"),0)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IFERROR(__xludf.DUMMYFUNCTION("IMPORTRANGE(""https://docs.google.com/spreadsheets/d/1QqKyyYR6Q21VydFLVH3TRQUabQu_ym0Zz7PgGX0-kHA/edit?usp=sharing"",""แผน!GW14"")"),0)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IFERROR(__xludf.DUMMYFUNCTION("IMPORTRANGE(""https://docs.google.com/spreadsheets/d/1QqKyyYR6Q21VydFLVH3TRQUabQu_ym0Zz7PgGX0-kHA/edit?usp=sharing"",""แผน!GX14"")"),0)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IFERROR(__xludf.DUMMYFUNCTION("IMPORTRANGE(""https://docs.google.com/spreadsheets/d/1QqKyyYR6Q21VydFLVH3TRQUabQu_ym0Zz7PgGX0-kHA/edit?usp=sharing"",""แผน!GY14"")"),0)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IFERROR(__xludf.DUMMYFUNCTION("IMPORTRANGE(""https://docs.google.com/spreadsheets/d/1QqKyyYR6Q21VydFLVH3TRQUabQu_ym0Zz7PgGX0-kHA/edit?usp=sharing"",""แผน!GZ14"")"),0)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156826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781791</v>
      </c>
      <c r="M544" s="155">
        <f t="shared" si="236"/>
        <v>0</v>
      </c>
      <c r="N544" s="155">
        <f t="shared" si="236"/>
        <v>175810</v>
      </c>
      <c r="O544" s="155">
        <f t="shared" ref="O544:O549" ca="1" si="237">IF(L544&gt;0,N544*100/L544,0)</f>
        <v>22.488107435363158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781791</v>
      </c>
      <c r="M546" s="93">
        <f t="shared" si="240"/>
        <v>0</v>
      </c>
      <c r="N546" s="93">
        <f t="shared" si="240"/>
        <v>175810</v>
      </c>
      <c r="O546" s="93">
        <f t="shared" ca="1" si="237"/>
        <v>22.488107435363158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781791</v>
      </c>
      <c r="M547" s="466">
        <f t="shared" si="241"/>
        <v>0</v>
      </c>
      <c r="N547" s="466">
        <f t="shared" si="241"/>
        <v>175810</v>
      </c>
      <c r="O547" s="466">
        <f t="shared" ca="1" si="237"/>
        <v>22.488107435363158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IFERROR(__xludf.DUMMYFUNCTION("IMPORTRANGE(""https://docs.google.com/spreadsheets/d/1QqKyyYR6Q21VydFLVH3TRQUabQu_ym0Zz7PgGX0-kHA/edit?usp=sharing"",""แผน!HB14"")"),781791)</f>
        <v>781791</v>
      </c>
      <c r="M549" s="93">
        <v>0</v>
      </c>
      <c r="N549" s="93">
        <f>N550+N551+N552+N553+N554</f>
        <v>175810</v>
      </c>
      <c r="O549" s="93">
        <f t="shared" ca="1" si="237"/>
        <v>22.488107435363158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26000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f>46490+51260+11860+40200</f>
        <v>149810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156826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IFERROR(__xludf.DUMMYFUNCTION("IMPORTRANGE(""https://docs.google.com/spreadsheets/d/1QqKyyYR6Q21VydFLVH3TRQUabQu_ym0Zz7PgGX0-kHA/edit?usp=sharing"",""แผน!HH14"")"),156826)</f>
        <v>156826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IFERROR(__xludf.DUMMYFUNCTION("IMPORTRANGE(""https://docs.google.com/spreadsheets/d/1QqKyyYR6Q21VydFLVH3TRQUabQu_ym0Zz7PgGX0-kHA/edit?usp=sharing"",""แผน!HG14"")"),12334)</f>
        <v>12334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IFERROR(__xludf.DUMMYFUNCTION("IMPORTRANGE(""https://docs.google.com/spreadsheets/d/1QqKyyYR6Q21VydFLVH3TRQUabQu_ym0Zz7PgGX0-kHA/edit?usp=sharing"",""แผน!HH14"")"),156826)</f>
        <v>156826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IFERROR(__xludf.DUMMYFUNCTION("IMPORTRANGE(""https://docs.google.com/spreadsheets/d/1QqKyyYR6Q21VydFLVH3TRQUabQu_ym0Zz7PgGX0-kHA/edit?usp=sharing"",""แผน!HG14"")"),12334)</f>
        <v>12334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IFERROR(__xludf.DUMMYFUNCTION("IMPORTRANGE(""https://docs.google.com/spreadsheets/d/1QqKyyYR6Q21VydFLVH3TRQUabQu_ym0Zz7PgGX0-kHA/edit?usp=sharing"",""แผน!HH14"")"),156826)</f>
        <v>156826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IFERROR(__xludf.DUMMYFUNCTION("IMPORTRANGE(""https://docs.google.com/spreadsheets/d/1QqKyyYR6Q21VydFLVH3TRQUabQu_ym0Zz7PgGX0-kHA/edit?usp=sharing"",""แผน!HG14"")"),12334)</f>
        <v>12334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6645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IFERROR(__xludf.DUMMYFUNCTION("IMPORTRANGE(""https://docs.google.com/spreadsheets/d/1QqKyyYR6Q21VydFLVH3TRQUabQu_ym0Zz7PgGX0-kHA/edit?usp=sharing"",""แผน!HJ14"")"),6645)</f>
        <v>6645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IFERROR(__xludf.DUMMYFUNCTION("IMPORTRANGE(""https://docs.google.com/spreadsheets/d/1QqKyyYR6Q21VydFLVH3TRQUabQu_ym0Zz7PgGX0-kHA/edit?usp=sharing"",""แผน!HI14"")"),390)</f>
        <v>390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IFERROR(__xludf.DUMMYFUNCTION("IMPORTRANGE(""https://docs.google.com/spreadsheets/d/1QqKyyYR6Q21VydFLVH3TRQUabQu_ym0Zz7PgGX0-kHA/edit?usp=sharing"",""แผน!HL14"")"),0)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IFERROR(__xludf.DUMMYFUNCTION("IMPORTRANGE(""https://docs.google.com/spreadsheets/d/1QqKyyYR6Q21VydFLVH3TRQUabQu_ym0Zz7PgGX0-kHA/edit?usp=sharing"",""แผน!HK14"")"),0)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350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509340</v>
      </c>
      <c r="M629" s="195">
        <f t="shared" si="263"/>
        <v>0</v>
      </c>
      <c r="N629" s="195">
        <f t="shared" si="263"/>
        <v>234667.63</v>
      </c>
      <c r="O629" s="195">
        <f t="shared" ref="O629:O634" ca="1" si="264">IF(L629&gt;0,N629*100/L629,0)</f>
        <v>46.072884517218363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509340</v>
      </c>
      <c r="M631" s="93">
        <f t="shared" si="266"/>
        <v>0</v>
      </c>
      <c r="N631" s="93">
        <f t="shared" si="266"/>
        <v>234667.63</v>
      </c>
      <c r="O631" s="93">
        <f t="shared" ca="1" si="264"/>
        <v>46.072884517218363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509340</v>
      </c>
      <c r="M632" s="466">
        <f t="shared" si="267"/>
        <v>0</v>
      </c>
      <c r="N632" s="466">
        <f t="shared" si="267"/>
        <v>234667.63</v>
      </c>
      <c r="O632" s="466">
        <f t="shared" ca="1" si="264"/>
        <v>46.072884517218363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IFERROR(__xludf.DUMMYFUNCTION("IMPORTRANGE(""https://docs.google.com/spreadsheets/d/1QqKyyYR6Q21VydFLVH3TRQUabQu_ym0Zz7PgGX0-kHA/edit?usp=sharing"",""แผน!HN14"")"),509340)</f>
        <v>509340</v>
      </c>
      <c r="M634" s="93">
        <v>0</v>
      </c>
      <c r="N634" s="93">
        <f>N635+N636+N637+N638</f>
        <v>234667.63</v>
      </c>
      <c r="O634" s="93">
        <f t="shared" ca="1" si="264"/>
        <v>46.072884517218363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26000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f>138520+27200+42947.63</f>
        <v>208667.63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IFERROR(__xludf.DUMMYFUNCTION("IMPORTRANGE(""https://docs.google.com/spreadsheets/d/1QqKyyYR6Q21VydFLVH3TRQUabQu_ym0Zz7PgGX0-kHA/edit?usp=sharing"",""แผน!HR14"")"),0)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IFERROR(__xludf.DUMMYFUNCTION("IMPORTRANGE(""https://docs.google.com/spreadsheets/d/1QqKyyYR6Q21VydFLVH3TRQUabQu_ym0Zz7PgGX0-kHA/edit?usp=sharing"",""แผน!HR14"")"),0)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IFERROR(__xludf.DUMMYFUNCTION("IMPORTRANGE(""https://docs.google.com/spreadsheets/d/1XWAQStnk-4SwqDmLtmXYiTMKHgktTP8We1SCoS47DrQ/edit?usp=sharing"",""จัดที่ดิน!AS69"")"),54)</f>
        <v>54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IFERROR(__xludf.DUMMYFUNCTION("IMPORTRANGE(""https://docs.google.com/spreadsheets/d/1XWAQStnk-4SwqDmLtmXYiTMKHgktTP8We1SCoS47DrQ/edit?usp=sharing"",""จัดที่ดิน!AT69"")"),59.97)</f>
        <v>59.97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IFERROR(__xludf.DUMMYFUNCTION("IMPORTRANGE(""https://docs.google.com/spreadsheets/d/1QqKyyYR6Q21VydFLVH3TRQUabQu_ym0Zz7PgGX0-kHA/edit?usp=sharing"",""แผน!HS14"")"),350)</f>
        <v>350</v>
      </c>
      <c r="J647" s="270">
        <f ca="1">IFERROR(__xludf.DUMMYFUNCTION("IMPORTRANGE(""https://docs.google.com/spreadsheets/d/1XWAQStnk-4SwqDmLtmXYiTMKHgktTP8We1SCoS47DrQ/edit?usp=sharing"",""จัดที่ดิน!AU69"")"),53)</f>
        <v>53</v>
      </c>
      <c r="K647" s="163">
        <f t="shared" ca="1" si="271"/>
        <v>15.142857142857142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IFERROR(__xludf.DUMMYFUNCTION("IMPORTRANGE(""https://docs.google.com/spreadsheets/d/1XWAQStnk-4SwqDmLtmXYiTMKHgktTP8We1SCoS47DrQ/edit?usp=sharing"",""จัดที่ดิน!AV69"")"),60.17)</f>
        <v>60.17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IFERROR(__xludf.DUMMYFUNCTION("IMPORTRANGE(""https://docs.google.com/spreadsheets/d/1QqKyyYR6Q21VydFLVH3TRQUabQu_ym0Zz7PgGX0-kHA/edit?usp=sharing"",""แผน!HS14"")"),350)</f>
        <v>350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IFERROR(__xludf.DUMMYFUNCTION("IMPORTRANGE(""https://docs.google.com/spreadsheets/d/1QqKyyYR6Q21VydFLVH3TRQUabQu_ym0Zz7PgGX0-kHA/edit?usp=sharing"",""แผน!HS14"")"),350)</f>
        <v>350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IFERROR(__xludf.DUMMYFUNCTION("IMPORTRANGE(""https://docs.google.com/spreadsheets/d/1XWAQStnk-4SwqDmLtmXYiTMKHgktTP8We1SCoS47DrQ/edit?usp=sharing"",""จัดที่ดิน!AZ69"")"),0)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IFERROR(__xludf.DUMMYFUNCTION("IMPORTRANGE(""https://docs.google.com/spreadsheets/d/1QqKyyYR6Q21VydFLVH3TRQUabQu_ym0Zz7PgGX0-kHA/edit?usp=sharing"",""แผน!HV14"")"),0)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IFERROR(__xludf.DUMMYFUNCTION("IMPORTRANGE(""https://docs.google.com/spreadsheets/d/1QqKyyYR6Q21VydFLVH3TRQUabQu_ym0Zz7PgGX0-kHA/edit?usp=sharing"",""แผน!IA14"")"),0)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IFERROR(__xludf.DUMMYFUNCTION("IMPORTRANGE(""https://docs.google.com/spreadsheets/d/1QqKyyYR6Q21VydFLVH3TRQUabQu_ym0Zz7PgGX0-kHA/edit?usp=sharing"",""แผน!HZ14"")"),0)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IFERROR(__xludf.DUMMYFUNCTION("IMPORTRANGE(""https://docs.google.com/spreadsheets/d/1QqKyyYR6Q21VydFLVH3TRQUabQu_ym0Zz7PgGX0-kHA/edit?usp=sharing"",""แผน!HZ14"")"),0)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IFERROR(__xludf.DUMMYFUNCTION("IMPORTRANGE(""https://docs.google.com/spreadsheets/d/1QqKyyYR6Q21VydFLVH3TRQUabQu_ym0Zz7PgGX0-kHA/edit?usp=sharing"",""แผน!IB14"")"),0)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4580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4580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4580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IFERROR(__xludf.DUMMYFUNCTION("IMPORTRANGE(""https://docs.google.com/spreadsheets/d/1QqKyyYR6Q21VydFLVH3TRQUabQu_ym0Zz7PgGX0-kHA/edit?usp=sharing"",""แผน!HW14"")"),4580)</f>
        <v>4580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IFERROR(__xludf.DUMMYFUNCTION("IMPORTRANGE(""https://docs.google.com/spreadsheets/d/1QqKyyYR6Q21VydFLVH3TRQUabQu_ym0Zz7PgGX0-kHA/edit?usp=sharing"",""แผน!IC14"")"),0)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IFERROR(__xludf.DUMMYFUNCTION("IMPORTRANGE(""https://docs.google.com/spreadsheets/d/1QqKyyYR6Q21VydFLVH3TRQUabQu_ym0Zz7PgGX0-kHA/edit?usp=sharing"",""แผน!ID14"")"),0)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IFERROR(__xludf.DUMMYFUNCTION("IMPORTRANGE(""https://docs.google.com/spreadsheets/d/1QqKyyYR6Q21VydFLVH3TRQUabQu_ym0Zz7PgGX0-kHA/edit?usp=sharing"",""แผน!IE14"")"),40)</f>
        <v>40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IFERROR(__xludf.DUMMYFUNCTION("IMPORTRANGE(""https://docs.google.com/spreadsheets/d/1QqKyyYR6Q21VydFLVH3TRQUabQu_ym0Zz7PgGX0-kHA/edit?usp=sharing"",""แผน!IF14"")"),40)</f>
        <v>40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IFERROR(__xludf.DUMMYFUNCTION("IMPORTRANGE(""https://docs.google.com/spreadsheets/d/1QqKyyYR6Q21VydFLVH3TRQUabQu_ym0Zz7PgGX0-kHA/edit?usp=sharing"",""แผน!IG14"")"),0)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IFERROR(__xludf.DUMMYFUNCTION("IMPORTRANGE(""https://docs.google.com/spreadsheets/d/1QqKyyYR6Q21VydFLVH3TRQUabQu_ym0Zz7PgGX0-kHA/edit?usp=sharing"",""แผน!IH14"")"),40)</f>
        <v>40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IFERROR(__xludf.DUMMYFUNCTION("IMPORTRANGE(""https://docs.google.com/spreadsheets/d/1QqKyyYR6Q21VydFLVH3TRQUabQu_ym0Zz7PgGX0-kHA/edit?usp=sharing"",""แผน!II14"")"),50)</f>
        <v>50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IFERROR(__xludf.DUMMYFUNCTION("IMPORTRANGE(""https://docs.google.com/spreadsheets/d/1QqKyyYR6Q21VydFLVH3TRQUabQu_ym0Zz7PgGX0-kHA/edit?usp=sharing"",""แผน!IJ14"")"),4)</f>
        <v>4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IFERROR(__xludf.DUMMYFUNCTION("IMPORTRANGE(""https://docs.google.com/spreadsheets/d/1QqKyyYR6Q21VydFLVH3TRQUabQu_ym0Zz7PgGX0-kHA/edit?usp=sharing"",""แผน!IK14"")"),50)</f>
        <v>50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IFERROR(__xludf.DUMMYFUNCTION("IMPORTRANGE(""https://docs.google.com/spreadsheets/d/1QqKyyYR6Q21VydFLVH3TRQUabQu_ym0Zz7PgGX0-kHA/edit?usp=sharing"",""แผน!IL14"")"),4)</f>
        <v>4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IFERROR(__xludf.DUMMYFUNCTION("IMPORTRANGE(""https://docs.google.com/spreadsheets/d/1QqKyyYR6Q21VydFLVH3TRQUabQu_ym0Zz7PgGX0-kHA/edit?usp=sharing"",""แผน!IM14"")"),50)</f>
        <v>50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IFERROR(__xludf.DUMMYFUNCTION("IMPORTRANGE(""https://docs.google.com/spreadsheets/d/1QqKyyYR6Q21VydFLVH3TRQUabQu_ym0Zz7PgGX0-kHA/edit?usp=sharing"",""แผน!IN14"")"),0)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IFERROR(__xludf.DUMMYFUNCTION("IMPORTRANGE(""https://docs.google.com/spreadsheets/d/1QqKyyYR6Q21VydFLVH3TRQUabQu_ym0Zz7PgGX0-kHA/edit?usp=sharing"",""แผน!IO14"")"),0)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IFERROR(__xludf.DUMMYFUNCTION("IMPORTRANGE(""https://docs.google.com/spreadsheets/d/1QqKyyYR6Q21VydFLVH3TRQUabQu_ym0Zz7PgGX0-kHA/edit?usp=sharing"",""แผน!IP14"")"),0)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18">I801+I803</f>
        <v>79000</v>
      </c>
      <c r="J785" s="771">
        <f t="shared" ca="1" si="318"/>
        <v>3777</v>
      </c>
      <c r="K785" s="772">
        <f ca="1">IF(I785&gt;0,J785*100/I785,0)</f>
        <v>4.7810126582278478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335200</v>
      </c>
      <c r="M786" s="195">
        <f t="shared" si="319"/>
        <v>0</v>
      </c>
      <c r="N786" s="195">
        <f t="shared" si="319"/>
        <v>69736.88</v>
      </c>
      <c r="O786" s="195">
        <f t="shared" ref="O786:O791" ca="1" si="320">IF(L786&gt;0,N786*100/L786,0)</f>
        <v>20.804558472553698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165" t="s">
        <v>12</v>
      </c>
      <c r="I788" s="584"/>
      <c r="J788" s="584"/>
      <c r="K788" s="93"/>
      <c r="L788" s="93">
        <f t="shared" ca="1" si="322"/>
        <v>335200</v>
      </c>
      <c r="M788" s="93">
        <f t="shared" si="322"/>
        <v>0</v>
      </c>
      <c r="N788" s="93">
        <f t="shared" si="322"/>
        <v>69736.88</v>
      </c>
      <c r="O788" s="93">
        <f t="shared" ca="1" si="320"/>
        <v>20.804558472553698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27"/>
      <c r="F789" s="727"/>
      <c r="G789" s="189"/>
      <c r="H789" s="776" t="s">
        <v>12</v>
      </c>
      <c r="I789" s="184"/>
      <c r="J789" s="184"/>
      <c r="K789" s="163"/>
      <c r="L789" s="466">
        <f t="shared" ref="L789:N789" ca="1" si="323">L790+L791</f>
        <v>335200</v>
      </c>
      <c r="M789" s="466">
        <f t="shared" si="323"/>
        <v>0</v>
      </c>
      <c r="N789" s="466">
        <f t="shared" si="323"/>
        <v>69736.88</v>
      </c>
      <c r="O789" s="466">
        <f t="shared" ca="1" si="320"/>
        <v>20.804558472553698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IFERROR(__xludf.DUMMYFUNCTION("IMPORTRANGE(""https://docs.google.com/spreadsheets/d/1QqKyyYR6Q21VydFLVH3TRQUabQu_ym0Zz7PgGX0-kHA/edit?usp=sharing"",""แผน!JJ14"")"),335200)</f>
        <v>335200</v>
      </c>
      <c r="M791" s="93">
        <v>0</v>
      </c>
      <c r="N791" s="93">
        <f>N792+N793+N794+N795</f>
        <v>69736.88</v>
      </c>
      <c r="O791" s="93">
        <f t="shared" ca="1" si="320"/>
        <v>20.804558472553698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27"/>
      <c r="D792" s="727"/>
      <c r="E792" s="727"/>
      <c r="F792" s="727" t="s">
        <v>186</v>
      </c>
      <c r="G792" s="189"/>
      <c r="H792" s="776" t="s">
        <v>12</v>
      </c>
      <c r="I792" s="270"/>
      <c r="J792" s="270"/>
      <c r="K792" s="466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27"/>
      <c r="D793" s="727"/>
      <c r="E793" s="727"/>
      <c r="F793" s="727" t="s">
        <v>187</v>
      </c>
      <c r="G793" s="189"/>
      <c r="H793" s="776" t="s">
        <v>12</v>
      </c>
      <c r="I793" s="270"/>
      <c r="J793" s="270"/>
      <c r="K793" s="466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27"/>
      <c r="D794" s="727"/>
      <c r="E794" s="727"/>
      <c r="F794" s="727" t="s">
        <v>188</v>
      </c>
      <c r="G794" s="189"/>
      <c r="H794" s="776" t="s">
        <v>12</v>
      </c>
      <c r="I794" s="270"/>
      <c r="J794" s="270"/>
      <c r="K794" s="466"/>
      <c r="L794" s="466"/>
      <c r="M794" s="466"/>
      <c r="N794" s="798">
        <v>25500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27"/>
      <c r="D795" s="727"/>
      <c r="E795" s="727"/>
      <c r="F795" s="727" t="s">
        <v>189</v>
      </c>
      <c r="G795" s="189"/>
      <c r="H795" s="776" t="s">
        <v>12</v>
      </c>
      <c r="I795" s="270"/>
      <c r="J795" s="270"/>
      <c r="K795" s="466"/>
      <c r="L795" s="466"/>
      <c r="M795" s="466"/>
      <c r="N795" s="798">
        <f>23710+20526.88</f>
        <v>44236.880000000005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27"/>
      <c r="D796" s="571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774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6"/>
      <c r="H800" s="775" t="s">
        <v>34</v>
      </c>
      <c r="I800" s="184"/>
      <c r="J800" s="184">
        <f ca="1">IFERROR(__xludf.DUMMYFUNCTION("IMPORTRANGE(""https://docs.google.com/spreadsheets/d/1MaWodYyGHDf7siQLGxnXhG4mBNTNIuy296niS2xXulU/edit?usp=sharing"",""RTK!H14"")"),0)</f>
        <v>0</v>
      </c>
      <c r="K800" s="466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6"/>
      <c r="H801" s="776" t="s">
        <v>46</v>
      </c>
      <c r="I801" s="184">
        <f ca="1">IFERROR(__xludf.DUMMYFUNCTION("IMPORTRANGE(""https://docs.google.com/spreadsheets/d/1MaWodYyGHDf7siQLGxnXhG4mBNTNIuy296niS2xXulU/edit?usp=sharing"",""RTK!G14"")"),5000)</f>
        <v>5000</v>
      </c>
      <c r="J801" s="270">
        <f ca="1">IFERROR(__xludf.DUMMYFUNCTION("IMPORTRANGE(""https://docs.google.com/spreadsheets/d/1MaWodYyGHDf7siQLGxnXhG4mBNTNIuy296niS2xXulU/edit?usp=sharing"",""RTK!I14"")"),0)</f>
        <v>0</v>
      </c>
      <c r="K801" s="466">
        <f ca="1">IF(I801&gt;0,J801*100/I801,0)</f>
        <v>0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777"/>
      <c r="B802" s="778"/>
      <c r="C802" s="778"/>
      <c r="D802" s="778"/>
      <c r="E802" s="780"/>
      <c r="F802" s="780" t="s">
        <v>321</v>
      </c>
      <c r="G802" s="333"/>
      <c r="H802" s="781" t="s">
        <v>34</v>
      </c>
      <c r="I802" s="320"/>
      <c r="J802" s="320">
        <f ca="1">IFERROR(__xludf.DUMMYFUNCTION("IMPORTRANGE(""https://docs.google.com/spreadsheets/d/1MaWodYyGHDf7siQLGxnXhG4mBNTNIuy296niS2xXulU/edit?usp=sharing"",""RTK!L14"")"),300)</f>
        <v>300</v>
      </c>
      <c r="K802" s="322"/>
      <c r="L802" s="321"/>
      <c r="M802" s="321"/>
      <c r="N802" s="321"/>
      <c r="O802" s="321"/>
      <c r="P802" s="321"/>
      <c r="Q802" s="782"/>
      <c r="R802" s="782"/>
      <c r="S802" s="782"/>
      <c r="T802" s="782"/>
      <c r="U802" s="782"/>
      <c r="V802" s="782"/>
      <c r="W802" s="782"/>
      <c r="X802" s="782"/>
      <c r="Y802" s="782"/>
      <c r="Z802" s="782"/>
    </row>
    <row r="803" spans="1:26" ht="18.75">
      <c r="A803" s="777"/>
      <c r="B803" s="778"/>
      <c r="C803" s="778"/>
      <c r="D803" s="778"/>
      <c r="E803" s="780"/>
      <c r="F803" s="780"/>
      <c r="G803" s="333"/>
      <c r="H803" s="781" t="s">
        <v>46</v>
      </c>
      <c r="I803" s="320">
        <f ca="1">IFERROR(__xludf.DUMMYFUNCTION("IMPORTRANGE(""https://docs.google.com/spreadsheets/d/1MaWodYyGHDf7siQLGxnXhG4mBNTNIuy296niS2xXulU/edit?usp=sharing"",""RTK!K14"")"),74000)</f>
        <v>74000</v>
      </c>
      <c r="J803" s="326">
        <f ca="1">IFERROR(__xludf.DUMMYFUNCTION("IMPORTRANGE(""https://docs.google.com/spreadsheets/d/1MaWodYyGHDf7siQLGxnXhG4mBNTNIuy296niS2xXulU/edit?usp=sharing"",""RTK!M14"")"),3777)</f>
        <v>3777</v>
      </c>
      <c r="K803" s="322">
        <f t="shared" ref="K803:K804" ca="1" si="327">IF(I803&gt;0,J803*100/I803,0)</f>
        <v>5.1040540540540542</v>
      </c>
      <c r="L803" s="321"/>
      <c r="M803" s="321"/>
      <c r="N803" s="321"/>
      <c r="O803" s="321"/>
      <c r="P803" s="321"/>
      <c r="Q803" s="782"/>
      <c r="R803" s="782"/>
      <c r="S803" s="782"/>
      <c r="T803" s="782"/>
      <c r="U803" s="782"/>
      <c r="V803" s="782"/>
      <c r="W803" s="782"/>
      <c r="X803" s="782"/>
      <c r="Y803" s="782"/>
      <c r="Z803" s="782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27"/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8">L806+L807</f>
        <v>0</v>
      </c>
      <c r="M805" s="613">
        <f t="shared" si="328"/>
        <v>0</v>
      </c>
      <c r="N805" s="613">
        <f t="shared" si="328"/>
        <v>0</v>
      </c>
      <c r="O805" s="613">
        <f t="shared" ref="O805:O810" si="329">IF(L805&gt;0,N805*100/L805,0)</f>
        <v>0</v>
      </c>
      <c r="P805" s="613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2">L809+L810</f>
        <v>0</v>
      </c>
      <c r="M808" s="613">
        <f t="shared" si="332"/>
        <v>0</v>
      </c>
      <c r="N808" s="613">
        <f t="shared" si="332"/>
        <v>0</v>
      </c>
      <c r="O808" s="613">
        <f t="shared" si="329"/>
        <v>0</v>
      </c>
      <c r="P808" s="613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3">L816+L817</f>
        <v>0</v>
      </c>
      <c r="M815" s="613">
        <f t="shared" si="333"/>
        <v>0</v>
      </c>
      <c r="N815" s="613">
        <f t="shared" si="333"/>
        <v>0</v>
      </c>
      <c r="O815" s="613">
        <f t="shared" ref="O815:O817" si="334">IF(L815&gt;0,N815*100/L815,0)</f>
        <v>0</v>
      </c>
      <c r="P815" s="613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IFERROR(__xludf.DUMMYFUNCTION("IMPORTRANGE(""https://docs.google.com/spreadsheets/d/19vJNZY_5yjcGF2XGBMNZRCAIB0Kwfpjp8YEOfu-bneM/edit?usp=sharing"",""งานกองทุน!D14"")"),4991000)</f>
        <v>4991000</v>
      </c>
      <c r="J821" s="270">
        <f ca="1">IFERROR(__xludf.DUMMYFUNCTION("IMPORTRANGE(""https://docs.google.com/spreadsheets/d/19vJNZY_5yjcGF2XGBMNZRCAIB0Kwfpjp8YEOfu-bneM/edit?usp=sharing"",""งานกองทุน!F14"")"),0)</f>
        <v>0</v>
      </c>
      <c r="K821" s="466">
        <f t="shared" ref="K821:K828" ca="1" si="336">IF(I821&gt;0,J821*100/I821,0)</f>
        <v>0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IFERROR(__xludf.DUMMYFUNCTION("IMPORTRANGE(""https://docs.google.com/spreadsheets/d/19vJNZY_5yjcGF2XGBMNZRCAIB0Kwfpjp8YEOfu-bneM/edit?usp=sharing"",""งานกองทุน!C14"")"),166)</f>
        <v>166</v>
      </c>
      <c r="J822" s="270">
        <f ca="1">IFERROR(__xludf.DUMMYFUNCTION("IMPORTRANGE(""https://docs.google.com/spreadsheets/d/19vJNZY_5yjcGF2XGBMNZRCAIB0Kwfpjp8YEOfu-bneM/edit?usp=sharing"",""งานกองทุน!E14"")"),0)</f>
        <v>0</v>
      </c>
      <c r="K822" s="466">
        <f t="shared" ca="1" si="336"/>
        <v>0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270">
        <f ca="1">IFERROR(__xludf.DUMMYFUNCTION("IMPORTRANGE(""https://docs.google.com/spreadsheets/d/19vJNZY_5yjcGF2XGBMNZRCAIB0Kwfpjp8YEOfu-bneM/edit?usp=sharing"",""งานกองทุน!K14"")"),96639.47)</f>
        <v>96639.47</v>
      </c>
      <c r="K823" s="466">
        <f t="shared" ca="1" si="336"/>
        <v>2.042667616365768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IFERROR(__xludf.DUMMYFUNCTION("IMPORTRANGE(""https://docs.google.com/spreadsheets/d/19vJNZY_5yjcGF2XGBMNZRCAIB0Kwfpjp8YEOfu-bneM/edit?usp=sharing"",""งานกองทุน!H14"")"),130)</f>
        <v>130</v>
      </c>
      <c r="J824" s="270">
        <f ca="1">IFERROR(__xludf.DUMMYFUNCTION("IMPORTRANGE(""https://docs.google.com/spreadsheets/d/19vJNZY_5yjcGF2XGBMNZRCAIB0Kwfpjp8YEOfu-bneM/edit?usp=sharing"",""งานกองทุน!J14"")"),10)</f>
        <v>10</v>
      </c>
      <c r="K824" s="466">
        <f t="shared" ca="1" si="336"/>
        <v>7.6923076923076925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270">
        <f ca="1">IFERROR(__xludf.DUMMYFUNCTION("IMPORTRANGE(""https://docs.google.com/spreadsheets/d/19vJNZY_5yjcGF2XGBMNZRCAIB0Kwfpjp8YEOfu-bneM/edit?usp=sharing"",""งานกองทุน!P14"")"),315680.48)</f>
        <v>315680.48</v>
      </c>
      <c r="K825" s="466">
        <f t="shared" ca="1" si="336"/>
        <v>13.006068816617223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IFERROR(__xludf.DUMMYFUNCTION("IMPORTRANGE(""https://docs.google.com/spreadsheets/d/19vJNZY_5yjcGF2XGBMNZRCAIB0Kwfpjp8YEOfu-bneM/edit?usp=sharing"",""งานกองทุน!M14"")"),277)</f>
        <v>277</v>
      </c>
      <c r="J826" s="270">
        <f ca="1">IFERROR(__xludf.DUMMYFUNCTION("IMPORTRANGE(""https://docs.google.com/spreadsheets/d/19vJNZY_5yjcGF2XGBMNZRCAIB0Kwfpjp8YEOfu-bneM/edit?usp=sharing"",""งานกองทุน!O14"")"),87)</f>
        <v>87</v>
      </c>
      <c r="K826" s="466">
        <f t="shared" ca="1" si="336"/>
        <v>31.407942238267147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IFERROR(__xludf.DUMMYFUNCTION("IMPORTRANGE(""https://docs.google.com/spreadsheets/d/19vJNZY_5yjcGF2XGBMNZRCAIB0Kwfpjp8YEOfu-bneM/edit?usp=sharing"",""งานกองทุน!S14"")"),5000000)</f>
        <v>5000000</v>
      </c>
      <c r="J827" s="270">
        <f ca="1">IFERROR(__xludf.DUMMYFUNCTION("IMPORTRANGE(""https://docs.google.com/spreadsheets/d/19vJNZY_5yjcGF2XGBMNZRCAIB0Kwfpjp8YEOfu-bneM/edit?usp=sharing"",""งานกองทุน!U14"")"),0)</f>
        <v>0</v>
      </c>
      <c r="K827" s="466">
        <f t="shared" ca="1" si="336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IFERROR(__xludf.DUMMYFUNCTION("IMPORTRANGE(""https://docs.google.com/spreadsheets/d/19vJNZY_5yjcGF2XGBMNZRCAIB0Kwfpjp8YEOfu-bneM/edit?usp=sharing"",""งานกองทุน!R14"")"),188)</f>
        <v>188</v>
      </c>
      <c r="J828" s="469">
        <f ca="1">IFERROR(__xludf.DUMMYFUNCTION("IMPORTRANGE(""https://docs.google.com/spreadsheets/d/19vJNZY_5yjcGF2XGBMNZRCAIB0Kwfpjp8YEOfu-bneM/edit?usp=sharing"",""งานกองทุน!T14"")"),0)</f>
        <v>0</v>
      </c>
      <c r="K828" s="470">
        <f t="shared" ca="1" si="336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0928A-1978-4574-8C44-83E3738A2B6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6.85546875" style="801" bestFit="1" customWidth="1"/>
    <col min="10" max="10" width="14.4257812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333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7642402</v>
      </c>
      <c r="M8" s="22">
        <f t="shared" ca="1" si="0"/>
        <v>2956822</v>
      </c>
      <c r="N8" s="22">
        <f t="shared" ca="1" si="0"/>
        <v>2270542.62</v>
      </c>
      <c r="O8" s="22">
        <f t="shared" ref="O8:O16" ca="1" si="1">IF(L8&gt;0,N8*100/L8,0)</f>
        <v>29.709803540823945</v>
      </c>
      <c r="P8" s="22">
        <f t="shared" ref="P8:P16" ca="1" si="2">IF(M8&gt;0,N8*100/M8,0)</f>
        <v>76.789966389589907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7642402</v>
      </c>
      <c r="M10" s="30">
        <f t="shared" ca="1" si="3"/>
        <v>2956822</v>
      </c>
      <c r="N10" s="30">
        <f t="shared" ca="1" si="3"/>
        <v>2270542.62</v>
      </c>
      <c r="O10" s="30">
        <f t="shared" ca="1" si="1"/>
        <v>29.709803540823945</v>
      </c>
      <c r="P10" s="30">
        <f t="shared" ca="1" si="2"/>
        <v>76.789966389589907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7214902</v>
      </c>
      <c r="M11" s="466">
        <f t="shared" ca="1" si="4"/>
        <v>2529322</v>
      </c>
      <c r="N11" s="466">
        <f t="shared" ca="1" si="4"/>
        <v>1843042.62</v>
      </c>
      <c r="O11" s="466">
        <f t="shared" ca="1" si="1"/>
        <v>25.544943229998136</v>
      </c>
      <c r="P11" s="466">
        <f t="shared" ca="1" si="2"/>
        <v>72.867061607814264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7214902</v>
      </c>
      <c r="M13" s="93">
        <f t="shared" ca="1" si="5"/>
        <v>2529322</v>
      </c>
      <c r="N13" s="93">
        <f t="shared" ca="1" si="5"/>
        <v>1843042.62</v>
      </c>
      <c r="O13" s="93">
        <f t="shared" ca="1" si="1"/>
        <v>25.544943229998136</v>
      </c>
      <c r="P13" s="93">
        <f t="shared" ca="1" si="2"/>
        <v>72.867061607814264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427500</v>
      </c>
      <c r="M14" s="466">
        <f t="shared" ca="1" si="6"/>
        <v>427500</v>
      </c>
      <c r="N14" s="466">
        <f t="shared" ca="1" si="6"/>
        <v>427500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427500</v>
      </c>
      <c r="M16" s="52">
        <f t="shared" ca="1" si="7"/>
        <v>427500</v>
      </c>
      <c r="N16" s="52">
        <f t="shared" ca="1" si="7"/>
        <v>427500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5405027</v>
      </c>
      <c r="M18" s="22">
        <f t="shared" ca="1" si="8"/>
        <v>2956822</v>
      </c>
      <c r="N18" s="22">
        <f t="shared" ca="1" si="8"/>
        <v>2026321.62</v>
      </c>
      <c r="O18" s="22">
        <f t="shared" ref="O18:O26" ca="1" si="9">IF(L18&gt;0,N18*100/L18,0)</f>
        <v>37.489574427657807</v>
      </c>
      <c r="P18" s="22">
        <f t="shared" ref="P18:P26" ca="1" si="10">IF(M18&gt;0,N18*100/M18,0)</f>
        <v>68.530389046077175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5405027</v>
      </c>
      <c r="M20" s="30">
        <f t="shared" ca="1" si="11"/>
        <v>2956822</v>
      </c>
      <c r="N20" s="30">
        <f t="shared" ca="1" si="11"/>
        <v>2026321.62</v>
      </c>
      <c r="O20" s="30">
        <f t="shared" ca="1" si="9"/>
        <v>37.489574427657807</v>
      </c>
      <c r="P20" s="30">
        <f t="shared" ca="1" si="10"/>
        <v>68.530389046077175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4977527</v>
      </c>
      <c r="M21" s="466">
        <f t="shared" ca="1" si="12"/>
        <v>2529322</v>
      </c>
      <c r="N21" s="466">
        <f t="shared" ca="1" si="12"/>
        <v>1598821.62</v>
      </c>
      <c r="O21" s="466">
        <f t="shared" ca="1" si="9"/>
        <v>32.120802559182501</v>
      </c>
      <c r="P21" s="466">
        <f t="shared" ca="1" si="10"/>
        <v>63.211470109381089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4977527</v>
      </c>
      <c r="M23" s="93">
        <f t="shared" ca="1" si="13"/>
        <v>2529322</v>
      </c>
      <c r="N23" s="93">
        <f t="shared" ca="1" si="13"/>
        <v>1598821.62</v>
      </c>
      <c r="O23" s="93">
        <f t="shared" ca="1" si="9"/>
        <v>32.120802559182501</v>
      </c>
      <c r="P23" s="93">
        <f t="shared" ca="1" si="10"/>
        <v>63.211470109381089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427500</v>
      </c>
      <c r="M24" s="466">
        <f t="shared" ca="1" si="14"/>
        <v>427500</v>
      </c>
      <c r="N24" s="466">
        <f t="shared" ca="1" si="14"/>
        <v>427500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427500</v>
      </c>
      <c r="M26" s="52">
        <f t="shared" ca="1" si="15"/>
        <v>427500</v>
      </c>
      <c r="N26" s="52">
        <f t="shared" ca="1" si="15"/>
        <v>427500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2237375</v>
      </c>
      <c r="M28" s="22">
        <f t="shared" si="16"/>
        <v>0</v>
      </c>
      <c r="N28" s="22">
        <f t="shared" si="16"/>
        <v>244221</v>
      </c>
      <c r="O28" s="22">
        <f t="shared" ref="O28:O37" ca="1" si="17">IF(L28&gt;0,N28*100/L28,0)</f>
        <v>10.915514833230906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2237375</v>
      </c>
      <c r="M30" s="30">
        <f t="shared" si="19"/>
        <v>0</v>
      </c>
      <c r="N30" s="30">
        <f t="shared" si="19"/>
        <v>244221</v>
      </c>
      <c r="O30" s="30">
        <f t="shared" ca="1" si="17"/>
        <v>10.915514833230906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2237375</v>
      </c>
      <c r="M31" s="466">
        <f t="shared" si="20"/>
        <v>0</v>
      </c>
      <c r="N31" s="466">
        <f t="shared" si="20"/>
        <v>244221</v>
      </c>
      <c r="O31" s="466">
        <f t="shared" ca="1" si="17"/>
        <v>10.915514833230906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2237375</v>
      </c>
      <c r="M33" s="93">
        <f t="shared" si="21"/>
        <v>0</v>
      </c>
      <c r="N33" s="93">
        <f t="shared" si="21"/>
        <v>244221</v>
      </c>
      <c r="O33" s="93">
        <f t="shared" ca="1" si="17"/>
        <v>10.915514833230906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5405027</v>
      </c>
      <c r="M37" s="832">
        <f t="shared" ca="1" si="24"/>
        <v>2956822</v>
      </c>
      <c r="N37" s="832">
        <f t="shared" ca="1" si="24"/>
        <v>2026321.62</v>
      </c>
      <c r="O37" s="832">
        <f t="shared" ca="1" si="17"/>
        <v>37.489574427657807</v>
      </c>
      <c r="P37" s="832">
        <f t="shared" ca="1" si="18"/>
        <v>68.530389046077175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705292</v>
      </c>
      <c r="M41" s="85">
        <f t="shared" ca="1" si="25"/>
        <v>364112</v>
      </c>
      <c r="N41" s="85">
        <f t="shared" ca="1" si="25"/>
        <v>263202.96000000002</v>
      </c>
      <c r="O41" s="85">
        <f t="shared" ref="O41:O49" ca="1" si="26">IF(L41&gt;0,N41*100/L41,0)</f>
        <v>37.318296535335726</v>
      </c>
      <c r="P41" s="85">
        <f t="shared" ref="P41:P49" ca="1" si="27">IF(M41&gt;0,N41*100/M41,0)</f>
        <v>72.286263567254039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705292</v>
      </c>
      <c r="M43" s="92">
        <f t="shared" ca="1" si="28"/>
        <v>364112</v>
      </c>
      <c r="N43" s="92">
        <f t="shared" ca="1" si="28"/>
        <v>263202.96000000002</v>
      </c>
      <c r="O43" s="92">
        <f t="shared" ca="1" si="26"/>
        <v>37.318296535335726</v>
      </c>
      <c r="P43" s="92">
        <f t="shared" ca="1" si="27"/>
        <v>72.286263567254039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705292</v>
      </c>
      <c r="M44" s="466">
        <f t="shared" ca="1" si="29"/>
        <v>364112</v>
      </c>
      <c r="N44" s="466">
        <f t="shared" ca="1" si="29"/>
        <v>263202.96000000002</v>
      </c>
      <c r="O44" s="466">
        <f t="shared" ca="1" si="26"/>
        <v>37.318296535335726</v>
      </c>
      <c r="P44" s="466">
        <f t="shared" ca="1" si="27"/>
        <v>72.286263567254039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IFERROR(__xludf.DUMMYFUNCTION("IMPORTRANGE(""https://docs.google.com/spreadsheets/d/1MeEWN-I1oV_STSDYn1IFDPWt_1FKiwhDph83XaGc0o0/edit?usp=sharing"",""งบพรบ!M15"")"),705292)</f>
        <v>705292</v>
      </c>
      <c r="M46" s="93">
        <f ca="1">IFERROR(__xludf.DUMMYFUNCTION("IMPORTRANGE(""https://docs.google.com/spreadsheets/d/1MeEWN-I1oV_STSDYn1IFDPWt_1FKiwhDph83XaGc0o0/edit?usp=sharing"",""งบพรบ!R15"")"),364112)</f>
        <v>364112</v>
      </c>
      <c r="N46" s="93">
        <f ca="1">IFERROR(__xludf.DUMMYFUNCTION("IMPORTRANGE(""https://docs.google.com/spreadsheets/d/1MeEWN-I1oV_STSDYn1IFDPWt_1FKiwhDph83XaGc0o0/edit?usp=sharing"",""งบพรบ!T15"")"),263202.96)</f>
        <v>263202.96000000002</v>
      </c>
      <c r="O46" s="93">
        <f t="shared" ca="1" si="26"/>
        <v>37.318296535335726</v>
      </c>
      <c r="P46" s="93">
        <f t="shared" ca="1" si="27"/>
        <v>72.286263567254039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IFERROR(__xludf.DUMMYFUNCTION("IMPORTRANGE(""https://docs.google.com/spreadsheets/d/1MeEWN-I1oV_STSDYn1IFDPWt_1FKiwhDph83XaGc0o0/edit?usp=sharing"",""งบพรบ!P15"")"),0)</f>
        <v>0</v>
      </c>
      <c r="M49" s="52">
        <f ca="1">IFERROR(__xludf.DUMMYFUNCTION("IMPORTRANGE(""https://docs.google.com/spreadsheets/d/1MeEWN-I1oV_STSDYn1IFDPWt_1FKiwhDph83XaGc0o0/edit?usp=sharing"",""งบพรบ!S15"")"),0)</f>
        <v>0</v>
      </c>
      <c r="N49" s="52">
        <f ca="1">IFERROR(__xludf.DUMMYFUNCTION("IMPORTRANGE(""https://docs.google.com/spreadsheets/d/1MeEWN-I1oV_STSDYn1IFDPWt_1FKiwhDph83XaGc0o0/edit?usp=sharing"",""งบพรบ!U15"")"),0)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779100</v>
      </c>
      <c r="M53" s="116">
        <f t="shared" ca="1" si="31"/>
        <v>404500</v>
      </c>
      <c r="N53" s="116">
        <f t="shared" ca="1" si="31"/>
        <v>321220.19</v>
      </c>
      <c r="O53" s="116">
        <f t="shared" ref="O53:O61" ca="1" si="32">IF(L53&gt;0,N53*100/L53,0)</f>
        <v>41.229648312155049</v>
      </c>
      <c r="P53" s="116">
        <f t="shared" ref="P53:P61" ca="1" si="33">IF(M53&gt;0,N53*100/M53,0)</f>
        <v>79.41166625463535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779100</v>
      </c>
      <c r="M55" s="123">
        <f t="shared" ca="1" si="34"/>
        <v>404500</v>
      </c>
      <c r="N55" s="123">
        <f t="shared" ca="1" si="34"/>
        <v>321220.19</v>
      </c>
      <c r="O55" s="123">
        <f t="shared" ca="1" si="32"/>
        <v>41.229648312155049</v>
      </c>
      <c r="P55" s="123">
        <f t="shared" ca="1" si="33"/>
        <v>79.41166625463535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749200</v>
      </c>
      <c r="M56" s="466">
        <f t="shared" ca="1" si="35"/>
        <v>374600</v>
      </c>
      <c r="N56" s="466">
        <f t="shared" ca="1" si="35"/>
        <v>291320.19</v>
      </c>
      <c r="O56" s="466">
        <f t="shared" ca="1" si="32"/>
        <v>38.884168446342763</v>
      </c>
      <c r="P56" s="466">
        <f t="shared" ca="1" si="33"/>
        <v>77.768336892685525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IFERROR(__xludf.DUMMYFUNCTION("IMPORTRANGE(""https://docs.google.com/spreadsheets/d/1MeEWN-I1oV_STSDYn1IFDPWt_1FKiwhDph83XaGc0o0/edit?usp=sharing"",""งบพรบ!W15"")"),749200)</f>
        <v>749200</v>
      </c>
      <c r="M58" s="93">
        <f ca="1">IFERROR(__xludf.DUMMYFUNCTION("IMPORTRANGE(""https://docs.google.com/spreadsheets/d/1MeEWN-I1oV_STSDYn1IFDPWt_1FKiwhDph83XaGc0o0/edit?usp=sharing"",""งบพรบ!AB15"")"),374600)</f>
        <v>374600</v>
      </c>
      <c r="N58" s="93">
        <f ca="1">IFERROR(__xludf.DUMMYFUNCTION("IMPORTRANGE(""https://docs.google.com/spreadsheets/d/1MeEWN-I1oV_STSDYn1IFDPWt_1FKiwhDph83XaGc0o0/edit?usp=sharing"",""งบพรบ!AD15"")"),291320.19)</f>
        <v>291320.19</v>
      </c>
      <c r="O58" s="93">
        <f t="shared" ca="1" si="32"/>
        <v>38.884168446342763</v>
      </c>
      <c r="P58" s="93">
        <f t="shared" ca="1" si="33"/>
        <v>77.768336892685525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29900</v>
      </c>
      <c r="M59" s="466">
        <f t="shared" ca="1" si="36"/>
        <v>29900</v>
      </c>
      <c r="N59" s="466">
        <f t="shared" ca="1" si="36"/>
        <v>29900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IFERROR(__xludf.DUMMYFUNCTION("IMPORTRANGE(""https://docs.google.com/spreadsheets/d/1MeEWN-I1oV_STSDYn1IFDPWt_1FKiwhDph83XaGc0o0/edit?usp=sharing"",""งบพรบ!Z15"")"),29900)</f>
        <v>29900</v>
      </c>
      <c r="M61" s="52">
        <f ca="1">IFERROR(__xludf.DUMMYFUNCTION("IMPORTRANGE(""https://docs.google.com/spreadsheets/d/1MeEWN-I1oV_STSDYn1IFDPWt_1FKiwhDph83XaGc0o0/edit?usp=sharing"",""งบพรบ!AC15"")"),29900)</f>
        <v>29900</v>
      </c>
      <c r="N61" s="52">
        <f ca="1">IFERROR(__xludf.DUMMYFUNCTION("IMPORTRANGE(""https://docs.google.com/spreadsheets/d/1MeEWN-I1oV_STSDYn1IFDPWt_1FKiwhDph83XaGc0o0/edit?usp=sharing"",""งบพรบ!AE15"")"),29900)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60</v>
      </c>
      <c r="J65" s="144">
        <f t="shared" si="37"/>
        <v>60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552000</v>
      </c>
      <c r="M66" s="155">
        <f t="shared" ca="1" si="39"/>
        <v>270000</v>
      </c>
      <c r="N66" s="155">
        <f t="shared" ca="1" si="39"/>
        <v>80836.66</v>
      </c>
      <c r="O66" s="155">
        <f t="shared" ref="O66:O74" ca="1" si="40">IF(L66&gt;0,N66*100/L66,0)</f>
        <v>14.644322463768116</v>
      </c>
      <c r="P66" s="155">
        <f t="shared" ref="P66:P74" ca="1" si="41">IF(M66&gt;0,N66*100/M66,0)</f>
        <v>29.939503703703704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552000</v>
      </c>
      <c r="M68" s="93">
        <f t="shared" ca="1" si="42"/>
        <v>270000</v>
      </c>
      <c r="N68" s="93">
        <f t="shared" ca="1" si="42"/>
        <v>80836.66</v>
      </c>
      <c r="O68" s="93">
        <f t="shared" ca="1" si="40"/>
        <v>14.644322463768116</v>
      </c>
      <c r="P68" s="93">
        <f t="shared" ca="1" si="41"/>
        <v>29.939503703703704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552000</v>
      </c>
      <c r="M69" s="466">
        <f t="shared" ca="1" si="43"/>
        <v>270000</v>
      </c>
      <c r="N69" s="466">
        <f t="shared" ca="1" si="43"/>
        <v>80836.66</v>
      </c>
      <c r="O69" s="466">
        <f t="shared" ca="1" si="40"/>
        <v>14.644322463768116</v>
      </c>
      <c r="P69" s="466">
        <f t="shared" ca="1" si="41"/>
        <v>29.939503703703704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IFERROR(__xludf.DUMMYFUNCTION("IMPORTRANGE(""https://docs.google.com/spreadsheets/d/1MeEWN-I1oV_STSDYn1IFDPWt_1FKiwhDph83XaGc0o0/edit?usp=sharing"",""งบพรบ!AG15"")"),552000)</f>
        <v>552000</v>
      </c>
      <c r="M71" s="93">
        <f ca="1">IFERROR(__xludf.DUMMYFUNCTION("IMPORTRANGE(""https://docs.google.com/spreadsheets/d/1MeEWN-I1oV_STSDYn1IFDPWt_1FKiwhDph83XaGc0o0/edit?usp=sharing"",""งบพรบ!AL15"")"),270000)</f>
        <v>270000</v>
      </c>
      <c r="N71" s="93">
        <f ca="1">IFERROR(__xludf.DUMMYFUNCTION("IMPORTRANGE(""https://docs.google.com/spreadsheets/d/1MeEWN-I1oV_STSDYn1IFDPWt_1FKiwhDph83XaGc0o0/edit?usp=sharing"",""งบพรบ!AN15"")"),80836.66)</f>
        <v>80836.66</v>
      </c>
      <c r="O71" s="93">
        <f t="shared" ca="1" si="40"/>
        <v>14.644322463768116</v>
      </c>
      <c r="P71" s="93">
        <f t="shared" ca="1" si="41"/>
        <v>29.939503703703704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IFERROR(__xludf.DUMMYFUNCTION("IMPORTRANGE(""https://docs.google.com/spreadsheets/d/1MeEWN-I1oV_STSDYn1IFDPWt_1FKiwhDph83XaGc0o0/edit?usp=sharing"",""งบพรบ!AJ15"")"),0)</f>
        <v>0</v>
      </c>
      <c r="M74" s="93">
        <f ca="1">IFERROR(__xludf.DUMMYFUNCTION("IMPORTRANGE(""https://docs.google.com/spreadsheets/d/1MeEWN-I1oV_STSDYn1IFDPWt_1FKiwhDph83XaGc0o0/edit?usp=sharing"",""งบพรบ!AM15"")"),0)</f>
        <v>0</v>
      </c>
      <c r="N74" s="93">
        <f ca="1">IFERROR(__xludf.DUMMYFUNCTION("IMPORTRANGE(""https://docs.google.com/spreadsheets/d/1MeEWN-I1oV_STSDYn1IFDPWt_1FKiwhDph83XaGc0o0/edit?usp=sharing"",""งบพรบ!AO15"")"),0)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60</v>
      </c>
      <c r="J77" s="270">
        <f t="shared" si="45"/>
        <v>60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IFERROR(__xludf.DUMMYFUNCTION("IMPORTRANGE(""https://docs.google.com/spreadsheets/d/1QqKyyYR6Q21VydFLVH3TRQUabQu_ym0Zz7PgGX0-kHA/edit?usp=sharing"",""แผน!F15"")"),1)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IFERROR(__xludf.DUMMYFUNCTION("IMPORTRANGE(""https://docs.google.com/spreadsheets/d/1QqKyyYR6Q21VydFLVH3TRQUabQu_ym0Zz7PgGX0-kHA/edit?usp=sharing"",""แผน!G15"")"),60)</f>
        <v>60</v>
      </c>
      <c r="J81" s="215">
        <v>60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IFERROR(__xludf.DUMMYFUNCTION("IMPORTRANGE(""https://docs.google.com/spreadsheets/d/1QqKyyYR6Q21VydFLVH3TRQUabQu_ym0Zz7PgGX0-kHA/edit?usp=sharing"",""แผน!J15"")"),1)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34760</v>
      </c>
      <c r="N88" s="155">
        <f t="shared" ca="1" si="49"/>
        <v>29100</v>
      </c>
      <c r="O88" s="155">
        <f t="shared" ref="O88:O96" ca="1" si="50">IF(L88&gt;0,N88*100/L88,0)</f>
        <v>29.555149299207802</v>
      </c>
      <c r="P88" s="155">
        <f t="shared" ref="P88:P96" ca="1" si="51">IF(M88&gt;0,N88*100/M88,0)</f>
        <v>83.716915995397002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98460</v>
      </c>
      <c r="M90" s="93">
        <f t="shared" ca="1" si="52"/>
        <v>34760</v>
      </c>
      <c r="N90" s="93">
        <f t="shared" ca="1" si="52"/>
        <v>29100</v>
      </c>
      <c r="O90" s="93">
        <f t="shared" ca="1" si="50"/>
        <v>29.555149299207802</v>
      </c>
      <c r="P90" s="93">
        <f t="shared" ca="1" si="51"/>
        <v>83.716915995397002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34760</v>
      </c>
      <c r="N91" s="466">
        <f t="shared" ca="1" si="53"/>
        <v>29100</v>
      </c>
      <c r="O91" s="466">
        <f t="shared" ca="1" si="50"/>
        <v>29.555149299207802</v>
      </c>
      <c r="P91" s="466">
        <f t="shared" ca="1" si="51"/>
        <v>83.716915995397002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IFERROR(__xludf.DUMMYFUNCTION("IMPORTRANGE(""https://docs.google.com/spreadsheets/d/1MeEWN-I1oV_STSDYn1IFDPWt_1FKiwhDph83XaGc0o0/edit?usp=sharing"",""งบพรบ!AQ15"")"),98460)</f>
        <v>98460</v>
      </c>
      <c r="M93" s="93">
        <f ca="1">IFERROR(__xludf.DUMMYFUNCTION("IMPORTRANGE(""https://docs.google.com/spreadsheets/d/1MeEWN-I1oV_STSDYn1IFDPWt_1FKiwhDph83XaGc0o0/edit?usp=sharing"",""งบพรบ!AV15"")"),34760)</f>
        <v>34760</v>
      </c>
      <c r="N93" s="93">
        <f ca="1">IFERROR(__xludf.DUMMYFUNCTION("IMPORTRANGE(""https://docs.google.com/spreadsheets/d/1MeEWN-I1oV_STSDYn1IFDPWt_1FKiwhDph83XaGc0o0/edit?usp=sharing"",""งบพรบ!AX15"")"),29100)</f>
        <v>29100</v>
      </c>
      <c r="O93" s="93">
        <f t="shared" ca="1" si="50"/>
        <v>29.555149299207802</v>
      </c>
      <c r="P93" s="93">
        <f t="shared" ca="1" si="51"/>
        <v>83.716915995397002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IFERROR(__xludf.DUMMYFUNCTION("IMPORTRANGE(""https://docs.google.com/spreadsheets/d/1MeEWN-I1oV_STSDYn1IFDPWt_1FKiwhDph83XaGc0o0/edit?usp=sharing"",""งบพรบ!AT15"")"),0)</f>
        <v>0</v>
      </c>
      <c r="M96" s="93">
        <f ca="1">IFERROR(__xludf.DUMMYFUNCTION("IMPORTRANGE(""https://docs.google.com/spreadsheets/d/1MeEWN-I1oV_STSDYn1IFDPWt_1FKiwhDph83XaGc0o0/edit?usp=sharing"",""งบพรบ!AW15"")"),0)</f>
        <v>0</v>
      </c>
      <c r="N96" s="93">
        <f ca="1">IFERROR(__xludf.DUMMYFUNCTION("IMPORTRANGE(""https://docs.google.com/spreadsheets/d/1MeEWN-I1oV_STSDYn1IFDPWt_1FKiwhDph83XaGc0o0/edit?usp=sharing"",""งบพรบ!AY15"")"),0)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IFERROR(__xludf.DUMMYFUNCTION("IMPORTRANGE(""https://docs.google.com/spreadsheets/d/1QqKyyYR6Q21VydFLVH3TRQUabQu_ym0Zz7PgGX0-kHA/edit?usp=sharing"",""แผน!K15"")"),45)</f>
        <v>45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IFERROR(__xludf.DUMMYFUNCTION("IMPORTRANGE(""https://docs.google.com/spreadsheets/d/1QqKyyYR6Q21VydFLVH3TRQUabQu_ym0Zz7PgGX0-kHA/edit?usp=sharing"",""แผน!L15"")"),15)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IFERROR(__xludf.DUMMYFUNCTION("IMPORTRANGE(""https://docs.google.com/spreadsheets/d/1QqKyyYR6Q21VydFLVH3TRQUabQu_ym0Zz7PgGX0-kHA/edit?usp=sharing"",""แผน!M15"")"),2)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IFERROR(__xludf.DUMMYFUNCTION("IMPORTRANGE(""https://docs.google.com/spreadsheets/d/1QqKyyYR6Q21VydFLVH3TRQUabQu_ym0Zz7PgGX0-kHA/edit?usp=sharing"",""แผน!N15"")"),45)</f>
        <v>45</v>
      </c>
      <c r="J102" s="215">
        <v>0</v>
      </c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IFERROR(__xludf.DUMMYFUNCTION("IMPORTRANGE(""https://docs.google.com/spreadsheets/d/1QqKyyYR6Q21VydFLVH3TRQUabQu_ym0Zz7PgGX0-kHA/edit?usp=sharing"",""แผน!O15"")"),15)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IFERROR(__xludf.DUMMYFUNCTION("IMPORTRANGE(""https://docs.google.com/spreadsheets/d/1QqKyyYR6Q21VydFLVH3TRQUabQu_ym0Zz7PgGX0-kHA/edit?usp=sharing"",""แผน!O15"")"),15)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IFERROR(__xludf.DUMMYFUNCTION("IMPORTRANGE(""https://docs.google.com/spreadsheets/d/1QqKyyYR6Q21VydFLVH3TRQUabQu_ym0Zz7PgGX0-kHA/edit?usp=sharing"",""แผน!P15"")"),1)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IFERROR(__xludf.DUMMYFUNCTION("IMPORTRANGE(""https://docs.google.com/spreadsheets/d/1QqKyyYR6Q21VydFLVH3TRQUabQu_ym0Zz7PgGX0-kHA/edit?usp=sharing"",""แผน!P15"")"),1)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IFERROR(__xludf.DUMMYFUNCTION("IMPORTRANGE(""https://docs.google.com/spreadsheets/d/1QqKyyYR6Q21VydFLVH3TRQUabQu_ym0Zz7PgGX0-kHA/edit?usp=sharing"",""แผน!Q15"")"),1)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IFERROR(__xludf.DUMMYFUNCTION("IMPORTRANGE(""https://docs.google.com/spreadsheets/d/1QqKyyYR6Q21VydFLVH3TRQUabQu_ym0Zz7PgGX0-kHA/edit?usp=sharing"",""แผน!Q15"")"),1)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IFERROR(__xludf.DUMMYFUNCTION("IMPORTRANGE(""https://docs.google.com/spreadsheets/d/1QqKyyYR6Q21VydFLVH3TRQUabQu_ym0Zz7PgGX0-kHA/edit?usp=sharing"",""แผน!R15"")"),15)</f>
        <v>15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IFERROR(__xludf.DUMMYFUNCTION("IMPORTRANGE(""https://docs.google.com/spreadsheets/d/1QqKyyYR6Q21VydFLVH3TRQUabQu_ym0Zz7PgGX0-kHA/edit?usp=sharing"",""แผน!R15"")"),15)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IFERROR(__xludf.DUMMYFUNCTION("IMPORTRANGE(""https://docs.google.com/spreadsheets/d/1QqKyyYR6Q21VydFLVH3TRQUabQu_ym0Zz7PgGX0-kHA/edit?usp=sharing"",""แผน!R15"")"),15)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IFERROR(__xludf.DUMMYFUNCTION("IMPORTRANGE(""https://docs.google.com/spreadsheets/d/1QqKyyYR6Q21VydFLVH3TRQUabQu_ym0Zz7PgGX0-kHA/edit?usp=sharing"",""แผน!S15"")"),1)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IFERROR(__xludf.DUMMYFUNCTION("IMPORTRANGE(""https://docs.google.com/spreadsheets/d/1QqKyyYR6Q21VydFLVH3TRQUabQu_ym0Zz7PgGX0-kHA/edit?usp=sharing"",""แผน!T15"")"),1)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IFERROR(__xludf.DUMMYFUNCTION("IMPORTRANGE(""https://docs.google.com/spreadsheets/d/1MeEWN-I1oV_STSDYn1IFDPWt_1FKiwhDph83XaGc0o0/edit?usp=sharing"",""งบพรบ!BA15"")"),0)</f>
        <v>0</v>
      </c>
      <c r="M124" s="93">
        <f ca="1">IFERROR(__xludf.DUMMYFUNCTION("IMPORTRANGE(""https://docs.google.com/spreadsheets/d/1MeEWN-I1oV_STSDYn1IFDPWt_1FKiwhDph83XaGc0o0/edit?usp=sharing"",""งบพรบ!BF15"")"),0)</f>
        <v>0</v>
      </c>
      <c r="N124" s="93">
        <f ca="1">IFERROR(__xludf.DUMMYFUNCTION("IMPORTRANGE(""https://docs.google.com/spreadsheets/d/1MeEWN-I1oV_STSDYn1IFDPWt_1FKiwhDph83XaGc0o0/edit?usp=sharing"",""งบพรบ!BH15"")"),0)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IFERROR(__xludf.DUMMYFUNCTION("IMPORTRANGE(""https://docs.google.com/spreadsheets/d/1MeEWN-I1oV_STSDYn1IFDPWt_1FKiwhDph83XaGc0o0/edit?usp=sharing"",""งบพรบ!BD15"")"),0)</f>
        <v>0</v>
      </c>
      <c r="M127" s="93">
        <f ca="1">IFERROR(__xludf.DUMMYFUNCTION("IMPORTRANGE(""https://docs.google.com/spreadsheets/d/1MeEWN-I1oV_STSDYn1IFDPWt_1FKiwhDph83XaGc0o0/edit?usp=sharing"",""งบพรบ!BG15"")"),0)</f>
        <v>0</v>
      </c>
      <c r="N127" s="93">
        <f ca="1">IFERROR(__xludf.DUMMYFUNCTION("IMPORTRANGE(""https://docs.google.com/spreadsheets/d/1MeEWN-I1oV_STSDYn1IFDPWt_1FKiwhDph83XaGc0o0/edit?usp=sharing"",""งบพรบ!BI15"")"),0)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454965</v>
      </c>
      <c r="M132" s="155">
        <f t="shared" ca="1" si="69"/>
        <v>400800</v>
      </c>
      <c r="N132" s="155">
        <f t="shared" ca="1" si="69"/>
        <v>333720</v>
      </c>
      <c r="O132" s="155">
        <f t="shared" ref="O132:O140" ca="1" si="70">IF(L132&gt;0,N132*100/L132,0)</f>
        <v>73.350697306386209</v>
      </c>
      <c r="P132" s="155">
        <f t="shared" ref="P132:P140" ca="1" si="71">IF(M132&gt;0,N132*100/M132,0)</f>
        <v>83.263473053892213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454965</v>
      </c>
      <c r="M134" s="93">
        <f t="shared" ca="1" si="72"/>
        <v>400800</v>
      </c>
      <c r="N134" s="93">
        <f t="shared" ca="1" si="72"/>
        <v>333720</v>
      </c>
      <c r="O134" s="93">
        <f t="shared" ca="1" si="70"/>
        <v>73.350697306386209</v>
      </c>
      <c r="P134" s="93">
        <f t="shared" ca="1" si="71"/>
        <v>83.263473053892213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145965</v>
      </c>
      <c r="M135" s="466">
        <f t="shared" ca="1" si="73"/>
        <v>91800</v>
      </c>
      <c r="N135" s="466">
        <f t="shared" ca="1" si="73"/>
        <v>24720</v>
      </c>
      <c r="O135" s="466">
        <f t="shared" ca="1" si="70"/>
        <v>16.935566745452675</v>
      </c>
      <c r="P135" s="466">
        <f t="shared" ca="1" si="71"/>
        <v>26.928104575163399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IFERROR(__xludf.DUMMYFUNCTION("IMPORTRANGE(""https://docs.google.com/spreadsheets/d/1MeEWN-I1oV_STSDYn1IFDPWt_1FKiwhDph83XaGc0o0/edit?usp=sharing"",""งบพรบ!BK15"")"),145965)</f>
        <v>145965</v>
      </c>
      <c r="M137" s="93">
        <f ca="1">IFERROR(__xludf.DUMMYFUNCTION("IMPORTRANGE(""https://docs.google.com/spreadsheets/d/1MeEWN-I1oV_STSDYn1IFDPWt_1FKiwhDph83XaGc0o0/edit?usp=sharing"",""งบพรบ!BP15"")"),91800)</f>
        <v>91800</v>
      </c>
      <c r="N137" s="93">
        <f ca="1">IFERROR(__xludf.DUMMYFUNCTION("IMPORTRANGE(""https://docs.google.com/spreadsheets/d/1MeEWN-I1oV_STSDYn1IFDPWt_1FKiwhDph83XaGc0o0/edit?usp=sharing"",""งบพรบ!BR15"")"),24720)</f>
        <v>24720</v>
      </c>
      <c r="O137" s="93">
        <f t="shared" ca="1" si="70"/>
        <v>16.935566745452675</v>
      </c>
      <c r="P137" s="93">
        <f t="shared" ca="1" si="71"/>
        <v>26.928104575163399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309000</v>
      </c>
      <c r="N138" s="466">
        <f t="shared" ca="1" si="74"/>
        <v>309000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IFERROR(__xludf.DUMMYFUNCTION("IMPORTRANGE(""https://docs.google.com/spreadsheets/d/1MeEWN-I1oV_STSDYn1IFDPWt_1FKiwhDph83XaGc0o0/edit?usp=sharing"",""งบพรบ!BN15"")"),309000)</f>
        <v>309000</v>
      </c>
      <c r="M140" s="93">
        <f ca="1">IFERROR(__xludf.DUMMYFUNCTION("IMPORTRANGE(""https://docs.google.com/spreadsheets/d/1MeEWN-I1oV_STSDYn1IFDPWt_1FKiwhDph83XaGc0o0/edit?usp=sharing"",""งบพรบ!BQ15"")"),309000)</f>
        <v>309000</v>
      </c>
      <c r="N140" s="93">
        <f ca="1">IFERROR(__xludf.DUMMYFUNCTION("IMPORTRANGE(""https://docs.google.com/spreadsheets/d/1MeEWN-I1oV_STSDYn1IFDPWt_1FKiwhDph83XaGc0o0/edit?usp=sharing"",""งบพรบ!BS15"")"),309000)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IFERROR(__xludf.DUMMYFUNCTION("IMPORTRANGE(""https://docs.google.com/spreadsheets/d/1QqKyyYR6Q21VydFLVH3TRQUabQu_ym0Zz7PgGX0-kHA/edit?usp=sharing"",""แผน!U15"")"),15)</f>
        <v>15</v>
      </c>
      <c r="J144" s="215">
        <v>15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IFERROR(__xludf.DUMMYFUNCTION("IMPORTRANGE(""https://docs.google.com/spreadsheets/d/1QqKyyYR6Q21VydFLVH3TRQUabQu_ym0Zz7PgGX0-kHA/edit?usp=sharing"",""แผน!V15"")"),30)</f>
        <v>30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IFERROR(__xludf.DUMMYFUNCTION("IMPORTRANGE(""https://docs.google.com/spreadsheets/d/1QqKyyYR6Q21VydFLVH3TRQUabQu_ym0Zz7PgGX0-kHA/edit?usp=sharing"",""แผน!W15"")"),3)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240</v>
      </c>
      <c r="O149" s="155">
        <f t="shared" ref="O149:O157" ca="1" si="78">IF(L149&gt;0,N149*100/L149,0)</f>
        <v>2.4</v>
      </c>
      <c r="P149" s="155">
        <f t="shared" ref="P149:P157" ca="1" si="79">IF(M149&gt;0,N149*100/M149,0)</f>
        <v>2.4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240</v>
      </c>
      <c r="O151" s="93">
        <f t="shared" ca="1" si="78"/>
        <v>2.4</v>
      </c>
      <c r="P151" s="93">
        <f t="shared" ca="1" si="79"/>
        <v>2.4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240</v>
      </c>
      <c r="O152" s="466">
        <f t="shared" ca="1" si="78"/>
        <v>2.4</v>
      </c>
      <c r="P152" s="466">
        <f t="shared" ca="1" si="79"/>
        <v>2.4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IFERROR(__xludf.DUMMYFUNCTION("IMPORTRANGE(""https://docs.google.com/spreadsheets/d/1MeEWN-I1oV_STSDYn1IFDPWt_1FKiwhDph83XaGc0o0/edit?usp=sharing"",""งบพรบ!BU15"")"),10000)</f>
        <v>10000</v>
      </c>
      <c r="M154" s="93">
        <f ca="1">IFERROR(__xludf.DUMMYFUNCTION("IMPORTRANGE(""https://docs.google.com/spreadsheets/d/1MeEWN-I1oV_STSDYn1IFDPWt_1FKiwhDph83XaGc0o0/edit?usp=sharing"",""งบพรบ!BZ15"")"),10000)</f>
        <v>10000</v>
      </c>
      <c r="N154" s="93">
        <f ca="1">IFERROR(__xludf.DUMMYFUNCTION("IMPORTRANGE(""https://docs.google.com/spreadsheets/d/1MeEWN-I1oV_STSDYn1IFDPWt_1FKiwhDph83XaGc0o0/edit?usp=sharing"",""งบพรบ!CB15"")"),240)</f>
        <v>240</v>
      </c>
      <c r="O154" s="93">
        <f t="shared" ca="1" si="78"/>
        <v>2.4</v>
      </c>
      <c r="P154" s="93">
        <f t="shared" ca="1" si="79"/>
        <v>2.4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IFERROR(__xludf.DUMMYFUNCTION("IMPORTRANGE(""https://docs.google.com/spreadsheets/d/1MeEWN-I1oV_STSDYn1IFDPWt_1FKiwhDph83XaGc0o0/edit?usp=sharing"",""งบพรบ!BX15"")"),0)</f>
        <v>0</v>
      </c>
      <c r="M157" s="93">
        <f ca="1">IFERROR(__xludf.DUMMYFUNCTION("IMPORTRANGE(""https://docs.google.com/spreadsheets/d/1MeEWN-I1oV_STSDYn1IFDPWt_1FKiwhDph83XaGc0o0/edit?usp=sharing"",""งบพรบ!CA15"")"),0)</f>
        <v>0</v>
      </c>
      <c r="N157" s="93">
        <f ca="1">IFERROR(__xludf.DUMMYFUNCTION("IMPORTRANGE(""https://docs.google.com/spreadsheets/d/1MeEWN-I1oV_STSDYn1IFDPWt_1FKiwhDph83XaGc0o0/edit?usp=sharing"",""งบพรบ!CC15"")"),0)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IFERROR(__xludf.DUMMYFUNCTION("IMPORTRANGE(""https://docs.google.com/spreadsheets/d/1QqKyyYR6Q21VydFLVH3TRQUabQu_ym0Zz7PgGX0-kHA/edit?usp=sharing"",""แผน!X15"")"),20)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20560</v>
      </c>
      <c r="O165" s="155">
        <f t="shared" ref="O165:O173" ca="1" si="85">IF(L165&gt;0,N165*100/L165,0)</f>
        <v>97.672209026128272</v>
      </c>
      <c r="P165" s="155">
        <f t="shared" ref="P165:P173" ca="1" si="86">IF(M165&gt;0,N165*100/M165,0)</f>
        <v>97.672209026128272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20560</v>
      </c>
      <c r="O167" s="93">
        <f t="shared" ca="1" si="85"/>
        <v>97.672209026128272</v>
      </c>
      <c r="P167" s="93">
        <f t="shared" ca="1" si="86"/>
        <v>97.672209026128272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21050</v>
      </c>
      <c r="N168" s="466">
        <f t="shared" ca="1" si="88"/>
        <v>20560</v>
      </c>
      <c r="O168" s="466">
        <f t="shared" ca="1" si="85"/>
        <v>97.672209026128272</v>
      </c>
      <c r="P168" s="466">
        <f t="shared" ca="1" si="86"/>
        <v>97.672209026128272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IFERROR(__xludf.DUMMYFUNCTION("IMPORTRANGE(""https://docs.google.com/spreadsheets/d/1MeEWN-I1oV_STSDYn1IFDPWt_1FKiwhDph83XaGc0o0/edit?usp=sharing"",""งบพรบ!CE15"")"),21050)</f>
        <v>21050</v>
      </c>
      <c r="M170" s="93">
        <f ca="1">IFERROR(__xludf.DUMMYFUNCTION("IMPORTRANGE(""https://docs.google.com/spreadsheets/d/1MeEWN-I1oV_STSDYn1IFDPWt_1FKiwhDph83XaGc0o0/edit?usp=sharing"",""งบพรบ!CJ15"")"),21050)</f>
        <v>21050</v>
      </c>
      <c r="N170" s="93">
        <f ca="1">IFERROR(__xludf.DUMMYFUNCTION("IMPORTRANGE(""https://docs.google.com/spreadsheets/d/1MeEWN-I1oV_STSDYn1IFDPWt_1FKiwhDph83XaGc0o0/edit?usp=sharing"",""งบพรบ!CL15"")"),20560)</f>
        <v>20560</v>
      </c>
      <c r="O170" s="93">
        <f t="shared" ca="1" si="85"/>
        <v>97.672209026128272</v>
      </c>
      <c r="P170" s="93">
        <f t="shared" ca="1" si="86"/>
        <v>97.672209026128272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IFERROR(__xludf.DUMMYFUNCTION("IMPORTRANGE(""https://docs.google.com/spreadsheets/d/1MeEWN-I1oV_STSDYn1IFDPWt_1FKiwhDph83XaGc0o0/edit?usp=sharing"",""งบพรบ!CH15"")"),0)</f>
        <v>0</v>
      </c>
      <c r="M173" s="93">
        <f ca="1">IFERROR(__xludf.DUMMYFUNCTION("IMPORTRANGE(""https://docs.google.com/spreadsheets/d/1MeEWN-I1oV_STSDYn1IFDPWt_1FKiwhDph83XaGc0o0/edit?usp=sharing"",""งบพรบ!CK15"")"),0)</f>
        <v>0</v>
      </c>
      <c r="N173" s="93">
        <f ca="1">IFERROR(__xludf.DUMMYFUNCTION("IMPORTRANGE(""https://docs.google.com/spreadsheets/d/1MeEWN-I1oV_STSDYn1IFDPWt_1FKiwhDph83XaGc0o0/edit?usp=sharing"",""งบพรบ!CM15"")"),0)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612200</v>
      </c>
      <c r="M181" s="155">
        <f t="shared" ca="1" si="92"/>
        <v>314350</v>
      </c>
      <c r="N181" s="155">
        <f t="shared" ca="1" si="92"/>
        <v>234578.6</v>
      </c>
      <c r="O181" s="155">
        <f t="shared" ref="O181:O189" ca="1" si="93">IF(L181&gt;0,N181*100/L181,0)</f>
        <v>38.317314603070891</v>
      </c>
      <c r="P181" s="155">
        <f t="shared" ref="P181:P189" ca="1" si="94">IF(M181&gt;0,N181*100/M181,0)</f>
        <v>74.623381581040235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612200</v>
      </c>
      <c r="M183" s="93">
        <f t="shared" ca="1" si="95"/>
        <v>314350</v>
      </c>
      <c r="N183" s="93">
        <f t="shared" ca="1" si="95"/>
        <v>234578.6</v>
      </c>
      <c r="O183" s="93">
        <f t="shared" ca="1" si="93"/>
        <v>38.317314603070891</v>
      </c>
      <c r="P183" s="93">
        <f t="shared" ca="1" si="94"/>
        <v>74.623381581040235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612200</v>
      </c>
      <c r="M184" s="466">
        <f t="shared" ca="1" si="96"/>
        <v>314350</v>
      </c>
      <c r="N184" s="466">
        <f t="shared" ca="1" si="96"/>
        <v>234578.6</v>
      </c>
      <c r="O184" s="466">
        <f t="shared" ca="1" si="93"/>
        <v>38.317314603070891</v>
      </c>
      <c r="P184" s="466">
        <f t="shared" ca="1" si="94"/>
        <v>74.623381581040235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IFERROR(__xludf.DUMMYFUNCTION("IMPORTRANGE(""https://docs.google.com/spreadsheets/d/1MeEWN-I1oV_STSDYn1IFDPWt_1FKiwhDph83XaGc0o0/edit?usp=sharing"",""งบพรบ!CO15"")"),612200)</f>
        <v>612200</v>
      </c>
      <c r="M186" s="93">
        <f ca="1">IFERROR(__xludf.DUMMYFUNCTION("IMPORTRANGE(""https://docs.google.com/spreadsheets/d/1MeEWN-I1oV_STSDYn1IFDPWt_1FKiwhDph83XaGc0o0/edit?usp=sharing"",""งบพรบ!CT15"")"),314350)</f>
        <v>314350</v>
      </c>
      <c r="N186" s="93">
        <f ca="1">IFERROR(__xludf.DUMMYFUNCTION("IMPORTRANGE(""https://docs.google.com/spreadsheets/d/1MeEWN-I1oV_STSDYn1IFDPWt_1FKiwhDph83XaGc0o0/edit?usp=sharing"",""งบพรบ!CV15"")"),234578.6)</f>
        <v>234578.6</v>
      </c>
      <c r="O186" s="93">
        <f t="shared" ca="1" si="93"/>
        <v>38.317314603070891</v>
      </c>
      <c r="P186" s="93">
        <f t="shared" ca="1" si="94"/>
        <v>74.623381581040235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IFERROR(__xludf.DUMMYFUNCTION("IMPORTRANGE(""https://docs.google.com/spreadsheets/d/1MeEWN-I1oV_STSDYn1IFDPWt_1FKiwhDph83XaGc0o0/edit?usp=sharing"",""งบพรบ!CR15"")"),0)</f>
        <v>0</v>
      </c>
      <c r="M189" s="93">
        <f ca="1">IFERROR(__xludf.DUMMYFUNCTION("IMPORTRANGE(""https://docs.google.com/spreadsheets/d/1MeEWN-I1oV_STSDYn1IFDPWt_1FKiwhDph83XaGc0o0/edit?usp=sharing"",""งบพรบ!CU15"")"),0)</f>
        <v>0</v>
      </c>
      <c r="N189" s="93">
        <f ca="1">IFERROR(__xludf.DUMMYFUNCTION("IMPORTRANGE(""https://docs.google.com/spreadsheets/d/1MeEWN-I1oV_STSDYn1IFDPWt_1FKiwhDph83XaGc0o0/edit?usp=sharing"",""งบพรบ!CW15"")"),0)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IFERROR(__xludf.DUMMYFUNCTION("IMPORTRANGE(""https://docs.google.com/spreadsheets/d/1QqKyyYR6Q21VydFLVH3TRQUabQu_ym0Zz7PgGX0-kHA/edit?usp=sharing"",""แผน!Z15"")"),6000)</f>
        <v>6000</v>
      </c>
      <c r="M191" s="155"/>
      <c r="N191" s="276">
        <v>120</v>
      </c>
      <c r="O191" s="155">
        <f ca="1">IF(L191&gt;0,N191*100/L191,0)</f>
        <v>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IFERROR(__xludf.DUMMYFUNCTION("IMPORTRANGE(""https://docs.google.com/spreadsheets/d/1QqKyyYR6Q21VydFLVH3TRQUabQu_ym0Zz7PgGX0-kHA/edit?usp=sharing"",""แผน!AC15"")"),4)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65000</v>
      </c>
      <c r="M198" s="155"/>
      <c r="N198" s="155">
        <f>N199+N200+N201+N202</f>
        <v>33670</v>
      </c>
      <c r="O198" s="155">
        <f ca="1">IF(L198&gt;0,N198*100/L198,0)</f>
        <v>51.8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IFERROR(__xludf.DUMMYFUNCTION("IMPORTRANGE(""https://docs.google.com/spreadsheets/d/1QqKyyYR6Q21VydFLVH3TRQUabQu_ym0Zz7PgGX0-kHA/edit?usp=sharing"",""แผน!AE15"")"),5000)</f>
        <v>5000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IFERROR(__xludf.DUMMYFUNCTION("IMPORTRANGE(""https://docs.google.com/spreadsheets/d/1QqKyyYR6Q21VydFLVH3TRQUabQu_ym0Zz7PgGX0-kHA/edit?usp=sharing"",""แผน!AF15"")"),40000)</f>
        <v>40000</v>
      </c>
      <c r="M200" s="466"/>
      <c r="N200" s="798">
        <v>33670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IFERROR(__xludf.DUMMYFUNCTION("IMPORTRANGE(""https://docs.google.com/spreadsheets/d/1QqKyyYR6Q21VydFLVH3TRQUabQu_ym0Zz7PgGX0-kHA/edit?usp=sharing"",""แผน!AG15"")"),20000)</f>
        <v>20000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IFERROR(__xludf.DUMMYFUNCTION("IMPORTRANGE(""https://docs.google.com/spreadsheets/d/1QqKyyYR6Q21VydFLVH3TRQUabQu_ym0Zz7PgGX0-kHA/edit?usp=sharing"",""แผน!AH15"")"),0)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IFERROR(__xludf.DUMMYFUNCTION("IMPORTRANGE(""https://docs.google.com/spreadsheets/d/1QqKyyYR6Q21VydFLVH3TRQUabQu_ym0Zz7PgGX0-kHA/edit?usp=sharing"",""แผน!AI15"")"),5)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IFERROR(__xludf.DUMMYFUNCTION("IMPORTRANGE(""https://docs.google.com/spreadsheets/d/1QqKyyYR6Q21VydFLVH3TRQUabQu_ym0Zz7PgGX0-kHA/edit?usp=sharing"",""แผน!AK15"")"),0)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IFERROR(__xludf.DUMMYFUNCTION("IMPORTRANGE(""https://docs.google.com/spreadsheets/d/1QqKyyYR6Q21VydFLVH3TRQUabQu_ym0Zz7PgGX0-kHA/edit?usp=sharing"",""แผน!AL15"")"),0)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IFERROR(__xludf.DUMMYFUNCTION("IMPORTRANGE(""https://docs.google.com/spreadsheets/d/1QqKyyYR6Q21VydFLVH3TRQUabQu_ym0Zz7PgGX0-kHA/edit?usp=sharing"",""แผน!AM15"")"),0)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IFERROR(__xludf.DUMMYFUNCTION("IMPORTRANGE(""https://docs.google.com/spreadsheets/d/1QqKyyYR6Q21VydFLVH3TRQUabQu_ym0Zz7PgGX0-kHA/edit?usp=sharing"",""แผน!AN15"")"),0)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IFERROR(__xludf.DUMMYFUNCTION("IMPORTRANGE(""https://docs.google.com/spreadsheets/d/1QqKyyYR6Q21VydFLVH3TRQUabQu_ym0Zz7PgGX0-kHA/edit?usp=sharing"",""แผน!AN15"")"),0)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9995</v>
      </c>
      <c r="O217" s="155">
        <f ca="1">IF(L217&gt;0,N217*100/L217,0)</f>
        <v>35.070175438596493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IFERROR(__xludf.DUMMYFUNCTION("IMPORTRANGE(""https://docs.google.com/spreadsheets/d/1QqKyyYR6Q21VydFLVH3TRQUabQu_ym0Zz7PgGX0-kHA/edit?usp=sharing"",""แผน!AP15"")"),5000)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IFERROR(__xludf.DUMMYFUNCTION("IMPORTRANGE(""https://docs.google.com/spreadsheets/d/1QqKyyYR6Q21VydFLVH3TRQUabQu_ym0Zz7PgGX0-kHA/edit?usp=sharing"",""แผน!AQ15"")"),13500)</f>
        <v>13500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IFERROR(__xludf.DUMMYFUNCTION("IMPORTRANGE(""https://docs.google.com/spreadsheets/d/1QqKyyYR6Q21VydFLVH3TRQUabQu_ym0Zz7PgGX0-kHA/edit?usp=sharing"",""แผน!AR15"")"),10000)</f>
        <v>10000</v>
      </c>
      <c r="M220" s="466"/>
      <c r="N220" s="798">
        <v>9995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IFERROR(__xludf.DUMMYFUNCTION("IMPORTRANGE(""https://docs.google.com/spreadsheets/d/1QqKyyYR6Q21VydFLVH3TRQUabQu_ym0Zz7PgGX0-kHA/edit?usp=sharing"",""แผน!AT15"")"),50000)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IFERROR(__xludf.DUMMYFUNCTION("IMPORTRANGE(""https://docs.google.com/spreadsheets/d/1QqKyyYR6Q21VydFLVH3TRQUabQu_ym0Zz7PgGX0-kHA/edit?usp=sharing"",""แผน!AT15"")"),50000)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IFERROR(__xludf.DUMMYFUNCTION("IMPORTRANGE(""https://docs.google.com/spreadsheets/d/1QqKyyYR6Q21VydFLVH3TRQUabQu_ym0Zz7PgGX0-kHA/edit?usp=sharing"",""แผน!AS15"")"),10)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IFERROR(__xludf.DUMMYFUNCTION("IMPORTRANGE(""https://docs.google.com/spreadsheets/d/1QqKyyYR6Q21VydFLVH3TRQUabQu_ym0Zz7PgGX0-kHA/edit?usp=sharing"",""แผน!BE15"")"),0)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IFERROR(__xludf.DUMMYFUNCTION("IMPORTRANGE(""https://docs.google.com/spreadsheets/d/1QqKyyYR6Q21VydFLVH3TRQUabQu_ym0Zz7PgGX0-kHA/edit?usp=sharing"",""แผน!BF15"")"),0)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17040</v>
      </c>
      <c r="O261" s="155">
        <f t="shared" ref="O261:O269" ca="1" si="117">IF(L261&gt;0,N261*100/L261,0)</f>
        <v>55.504885993485345</v>
      </c>
      <c r="P261" s="155">
        <f t="shared" ref="P261:P269" ca="1" si="118">IF(M261&gt;0,N261*100/M261,0)</f>
        <v>61.516245487364621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17040</v>
      </c>
      <c r="O263" s="93">
        <f t="shared" ca="1" si="117"/>
        <v>55.504885993485345</v>
      </c>
      <c r="P263" s="93">
        <f t="shared" ca="1" si="118"/>
        <v>61.516245487364621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17040</v>
      </c>
      <c r="O264" s="466">
        <f t="shared" ca="1" si="117"/>
        <v>55.504885993485345</v>
      </c>
      <c r="P264" s="466">
        <f t="shared" ca="1" si="118"/>
        <v>61.516245487364621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IFERROR(__xludf.DUMMYFUNCTION("IMPORTRANGE(""https://docs.google.com/spreadsheets/d/1MeEWN-I1oV_STSDYn1IFDPWt_1FKiwhDph83XaGc0o0/edit?usp=sharing"",""งบพรบ!CY15"")"),30700)</f>
        <v>30700</v>
      </c>
      <c r="M266" s="93">
        <f ca="1">IFERROR(__xludf.DUMMYFUNCTION("IMPORTRANGE(""https://docs.google.com/spreadsheets/d/1MeEWN-I1oV_STSDYn1IFDPWt_1FKiwhDph83XaGc0o0/edit?usp=sharing"",""งบพรบ!DD15"")"),27700)</f>
        <v>27700</v>
      </c>
      <c r="N266" s="93">
        <f ca="1">IFERROR(__xludf.DUMMYFUNCTION("IMPORTRANGE(""https://docs.google.com/spreadsheets/d/1MeEWN-I1oV_STSDYn1IFDPWt_1FKiwhDph83XaGc0o0/edit?usp=sharing"",""งบพรบ!DF15"")"),17040)</f>
        <v>17040</v>
      </c>
      <c r="O266" s="93">
        <f t="shared" ca="1" si="117"/>
        <v>55.504885993485345</v>
      </c>
      <c r="P266" s="93">
        <f t="shared" ca="1" si="118"/>
        <v>61.516245487364621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IFERROR(__xludf.DUMMYFUNCTION("IMPORTRANGE(""https://docs.google.com/spreadsheets/d/1MeEWN-I1oV_STSDYn1IFDPWt_1FKiwhDph83XaGc0o0/edit?usp=sharing"",""งบพรบ!DB15"")"),0)</f>
        <v>0</v>
      </c>
      <c r="M269" s="93">
        <f ca="1">IFERROR(__xludf.DUMMYFUNCTION("IMPORTRANGE(""https://docs.google.com/spreadsheets/d/1MeEWN-I1oV_STSDYn1IFDPWt_1FKiwhDph83XaGc0o0/edit?usp=sharing"",""งบพรบ!DE15"")"),0)</f>
        <v>0</v>
      </c>
      <c r="N269" s="93">
        <f ca="1">IFERROR(__xludf.DUMMYFUNCTION("IMPORTRANGE(""https://docs.google.com/spreadsheets/d/1MeEWN-I1oV_STSDYn1IFDPWt_1FKiwhDph83XaGc0o0/edit?usp=sharing"",""งบพรบ!DG15"")"),0)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3">
        <f t="shared" ref="I276:J276" ca="1" si="124">I287</f>
        <v>200</v>
      </c>
      <c r="J276" s="883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23920</v>
      </c>
      <c r="O277" s="155">
        <f t="shared" ref="O277:O285" ca="1" si="126">IF(L277&gt;0,N277*100/L277,0)</f>
        <v>31.623479640401904</v>
      </c>
      <c r="P277" s="155">
        <f t="shared" ref="P277:P285" ca="1" si="127">IF(M277&gt;0,N277*100/M277,0)</f>
        <v>63.752665245202557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23920</v>
      </c>
      <c r="O279" s="93">
        <f t="shared" ca="1" si="126"/>
        <v>31.623479640401904</v>
      </c>
      <c r="P279" s="93">
        <f t="shared" ca="1" si="127"/>
        <v>63.752665245202557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37520</v>
      </c>
      <c r="N280" s="466">
        <f t="shared" ca="1" si="129"/>
        <v>23920</v>
      </c>
      <c r="O280" s="466">
        <f t="shared" ca="1" si="126"/>
        <v>31.623479640401904</v>
      </c>
      <c r="P280" s="466">
        <f t="shared" ca="1" si="127"/>
        <v>63.752665245202557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IFERROR(__xludf.DUMMYFUNCTION("IMPORTRANGE(""https://docs.google.com/spreadsheets/d/1MeEWN-I1oV_STSDYn1IFDPWt_1FKiwhDph83XaGc0o0/edit?usp=sharing"",""งบพรบ!DI15"")"),75640)</f>
        <v>75640</v>
      </c>
      <c r="M282" s="93">
        <f ca="1">IFERROR(__xludf.DUMMYFUNCTION("IMPORTRANGE(""https://docs.google.com/spreadsheets/d/1MeEWN-I1oV_STSDYn1IFDPWt_1FKiwhDph83XaGc0o0/edit?usp=sharing"",""งบพรบ!DN15"")"),37520)</f>
        <v>37520</v>
      </c>
      <c r="N282" s="93">
        <f ca="1">IFERROR(__xludf.DUMMYFUNCTION("IMPORTRANGE(""https://docs.google.com/spreadsheets/d/1MeEWN-I1oV_STSDYn1IFDPWt_1FKiwhDph83XaGc0o0/edit?usp=sharing"",""งบพรบ!DP15"")"),23920)</f>
        <v>23920</v>
      </c>
      <c r="O282" s="93">
        <f t="shared" ca="1" si="126"/>
        <v>31.623479640401904</v>
      </c>
      <c r="P282" s="93">
        <f t="shared" ca="1" si="127"/>
        <v>63.752665245202557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IFERROR(__xludf.DUMMYFUNCTION("IMPORTRANGE(""https://docs.google.com/spreadsheets/d/1MeEWN-I1oV_STSDYn1IFDPWt_1FKiwhDph83XaGc0o0/edit?usp=sharing"",""งบพรบ!DL15"")"),0)</f>
        <v>0</v>
      </c>
      <c r="M285" s="93">
        <f ca="1">IFERROR(__xludf.DUMMYFUNCTION("IMPORTRANGE(""https://docs.google.com/spreadsheets/d/1MeEWN-I1oV_STSDYn1IFDPWt_1FKiwhDph83XaGc0o0/edit?usp=sharing"",""งบพรบ!DO15"")"),0)</f>
        <v>0</v>
      </c>
      <c r="N285" s="93">
        <f ca="1">IFERROR(__xludf.DUMMYFUNCTION("IMPORTRANGE(""https://docs.google.com/spreadsheets/d/1MeEWN-I1oV_STSDYn1IFDPWt_1FKiwhDph83XaGc0o0/edit?usp=sharing"",""งบพรบ!DQ15"")"),0)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IFERROR(__xludf.DUMMYFUNCTION("IMPORTRANGE(""https://docs.google.com/spreadsheets/d/1QqKyyYR6Q21VydFLVH3TRQUabQu_ym0Zz7PgGX0-kHA/edit?usp=sharing"",""แผน!EC15"")"),200)</f>
        <v>200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IFERROR(__xludf.DUMMYFUNCTION("IMPORTRANGE(""https://docs.google.com/spreadsheets/d/1QqKyyYR6Q21VydFLVH3TRQUabQu_ym0Zz7PgGX0-kHA/edit?usp=sharing"",""แผน!EB15"")"),20)</f>
        <v>20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IFERROR(__xludf.DUMMYFUNCTION("IMPORTRANGE(""https://docs.google.com/spreadsheets/d/1QqKyyYR6Q21VydFLVH3TRQUabQu_ym0Zz7PgGX0-kHA/edit?usp=sharing"",""แผน!EB15"")"),20)</f>
        <v>20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IFERROR(__xludf.DUMMYFUNCTION("IMPORTRANGE(""https://docs.google.com/spreadsheets/d/1QqKyyYR6Q21VydFLVH3TRQUabQu_ym0Zz7PgGX0-kHA/edit?usp=sharing"",""แผน!EB15"")"),20)</f>
        <v>20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IFERROR(__xludf.DUMMYFUNCTION("IMPORTRANGE(""https://docs.google.com/spreadsheets/d/1QqKyyYR6Q21VydFLVH3TRQUabQu_ym0Zz7PgGX0-kHA/edit?usp=sharing"",""แผน!EB15"")"),20)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IFERROR(__xludf.DUMMYFUNCTION("IMPORTRANGE(""https://docs.google.com/spreadsheets/d/1QqKyyYR6Q21VydFLVH3TRQUabQu_ym0Zz7PgGX0-kHA/edit?usp=sharing"",""แผน!EB15"")"),20)</f>
        <v>20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179120</v>
      </c>
      <c r="N298" s="155">
        <f t="shared" ca="1" si="135"/>
        <v>98596.67</v>
      </c>
      <c r="O298" s="155">
        <f t="shared" ref="O298:O306" ca="1" si="136">IF(L298&gt;0,N298*100/L298,0)</f>
        <v>26.763482627578718</v>
      </c>
      <c r="P298" s="155">
        <f t="shared" ref="P298:P306" ca="1" si="137">IF(M298&gt;0,N298*100/M298,0)</f>
        <v>55.04503684680661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368400</v>
      </c>
      <c r="M300" s="93">
        <f t="shared" ca="1" si="138"/>
        <v>179120</v>
      </c>
      <c r="N300" s="93">
        <f t="shared" ca="1" si="138"/>
        <v>98596.67</v>
      </c>
      <c r="O300" s="93">
        <f t="shared" ca="1" si="136"/>
        <v>26.763482627578718</v>
      </c>
      <c r="P300" s="93">
        <f t="shared" ca="1" si="137"/>
        <v>55.04503684680661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179120</v>
      </c>
      <c r="N301" s="466">
        <f t="shared" ca="1" si="139"/>
        <v>98596.67</v>
      </c>
      <c r="O301" s="466">
        <f t="shared" ca="1" si="136"/>
        <v>26.763482627578718</v>
      </c>
      <c r="P301" s="466">
        <f t="shared" ca="1" si="137"/>
        <v>55.04503684680661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IFERROR(__xludf.DUMMYFUNCTION("IMPORTRANGE(""https://docs.google.com/spreadsheets/d/1MeEWN-I1oV_STSDYn1IFDPWt_1FKiwhDph83XaGc0o0/edit?usp=sharing"",""งบพรบ!DS15"")"),368400)</f>
        <v>368400</v>
      </c>
      <c r="M303" s="93">
        <f ca="1">IFERROR(__xludf.DUMMYFUNCTION("IMPORTRANGE(""https://docs.google.com/spreadsheets/d/1MeEWN-I1oV_STSDYn1IFDPWt_1FKiwhDph83XaGc0o0/edit?usp=sharing"",""งบพรบ!DX15"")"),179120)</f>
        <v>179120</v>
      </c>
      <c r="N303" s="93">
        <f ca="1">IFERROR(__xludf.DUMMYFUNCTION("IMPORTRANGE(""https://docs.google.com/spreadsheets/d/1MeEWN-I1oV_STSDYn1IFDPWt_1FKiwhDph83XaGc0o0/edit?usp=sharing"",""งบพรบ!DZ15"")"),98596.67)</f>
        <v>98596.67</v>
      </c>
      <c r="O303" s="93">
        <f t="shared" ca="1" si="136"/>
        <v>26.763482627578718</v>
      </c>
      <c r="P303" s="93">
        <f t="shared" ca="1" si="137"/>
        <v>55.04503684680661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IFERROR(__xludf.DUMMYFUNCTION("IMPORTRANGE(""https://docs.google.com/spreadsheets/d/1MeEWN-I1oV_STSDYn1IFDPWt_1FKiwhDph83XaGc0o0/edit?usp=sharing"",""งบพรบ!DV15"")"),0)</f>
        <v>0</v>
      </c>
      <c r="M306" s="93">
        <f ca="1">IFERROR(__xludf.DUMMYFUNCTION("IMPORTRANGE(""https://docs.google.com/spreadsheets/d/1MeEWN-I1oV_STSDYn1IFDPWt_1FKiwhDph83XaGc0o0/edit?usp=sharing"",""งบพรบ!DY15"")"),0)</f>
        <v>0</v>
      </c>
      <c r="N306" s="93">
        <f ca="1">IFERROR(__xludf.DUMMYFUNCTION("IMPORTRANGE(""https://docs.google.com/spreadsheets/d/1MeEWN-I1oV_STSDYn1IFDPWt_1FKiwhDph83XaGc0o0/edit?usp=sharing"",""งบพรบ!EA15"")"),0)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IFERROR(__xludf.DUMMYFUNCTION("IMPORTRANGE(""https://docs.google.com/spreadsheets/d/1QqKyyYR6Q21VydFLVH3TRQUabQu_ym0Zz7PgGX0-kHA/edit?usp=sharing"",""แผน!ED15"")"),20)</f>
        <v>20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IFERROR(__xludf.DUMMYFUNCTION("IMPORTRANGE(""https://docs.google.com/spreadsheets/d/1QqKyyYR6Q21VydFLVH3TRQUabQu_ym0Zz7PgGX0-kHA/edit?usp=sharing"",""แผน!ED15"")"),20)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IFERROR(__xludf.DUMMYFUNCTION("IMPORTRANGE(""https://docs.google.com/spreadsheets/d/1QqKyyYR6Q21VydFLVH3TRQUabQu_ym0Zz7PgGX0-kHA/edit?usp=sharing"",""แผน!ED15"")"),20)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IFERROR(__xludf.DUMMYFUNCTION("IMPORTRANGE(""https://docs.google.com/spreadsheets/d/1QqKyyYR6Q21VydFLVH3TRQUabQu_ym0Zz7PgGX0-kHA/edit?usp=sharing"",""แผน!EE15"")"),4)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IFERROR(__xludf.DUMMYFUNCTION("IMPORTRANGE(""https://docs.google.com/spreadsheets/d/1MeEWN-I1oV_STSDYn1IFDPWt_1FKiwhDph83XaGc0o0/edit?usp=sharing"",""งบพรบ!EC15"")"),0)</f>
        <v>0</v>
      </c>
      <c r="M320" s="93">
        <f ca="1">IFERROR(__xludf.DUMMYFUNCTION("IMPORTRANGE(""https://docs.google.com/spreadsheets/d/1MeEWN-I1oV_STSDYn1IFDPWt_1FKiwhDph83XaGc0o0/edit?usp=sharing"",""งบพรบ!EH15"")"),0)</f>
        <v>0</v>
      </c>
      <c r="N320" s="93">
        <f ca="1">IFERROR(__xludf.DUMMYFUNCTION("IMPORTRANGE(""https://docs.google.com/spreadsheets/d/1MeEWN-I1oV_STSDYn1IFDPWt_1FKiwhDph83XaGc0o0/edit?usp=sharing"",""งบพรบ!EJ15"")"),0)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IFERROR(__xludf.DUMMYFUNCTION("IMPORTRANGE(""https://docs.google.com/spreadsheets/d/1MeEWN-I1oV_STSDYn1IFDPWt_1FKiwhDph83XaGc0o0/edit?usp=sharing"",""งบพรบ!EF15"")"),0)</f>
        <v>0</v>
      </c>
      <c r="M323" s="93">
        <f ca="1">IFERROR(__xludf.DUMMYFUNCTION("IMPORTRANGE(""https://docs.google.com/spreadsheets/d/1MeEWN-I1oV_STSDYn1IFDPWt_1FKiwhDph83XaGc0o0/edit?usp=sharing"",""งบพรบ!EI15"")"),0)</f>
        <v>0</v>
      </c>
      <c r="N323" s="93">
        <f ca="1">IFERROR(__xludf.DUMMYFUNCTION("IMPORTRANGE(""https://docs.google.com/spreadsheets/d/1MeEWN-I1oV_STSDYn1IFDPWt_1FKiwhDph83XaGc0o0/edit?usp=sharing"",""งบพรบ!EK15"")"),0)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IFERROR(__xludf.DUMMYFUNCTION("IMPORTRANGE(""https://docs.google.com/spreadsheets/d/1QqKyyYR6Q21VydFLVH3TRQUabQu_ym0Zz7PgGX0-kHA/edit?usp=sharing"",""แผน!EG15"")"),6000)</f>
        <v>6000</v>
      </c>
      <c r="J327" s="413">
        <f ca="1">J338+J341+J342+J343</f>
        <v>2788</v>
      </c>
      <c r="K327" s="414">
        <f ca="1">IF(I327&gt;0,J327*100/I327,0)</f>
        <v>46.466666666666669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446800</v>
      </c>
      <c r="M328" s="155">
        <f t="shared" ca="1" si="149"/>
        <v>223400</v>
      </c>
      <c r="N328" s="155">
        <f t="shared" ca="1" si="149"/>
        <v>74028</v>
      </c>
      <c r="O328" s="155">
        <f t="shared" ref="O328:O336" ca="1" si="150">IF(L328&gt;0,N328*100/L328,0)</f>
        <v>16.568487018800358</v>
      </c>
      <c r="P328" s="155">
        <f t="shared" ref="P328:P336" ca="1" si="151">IF(M328&gt;0,N328*100/M328,0)</f>
        <v>33.136974037600716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446800</v>
      </c>
      <c r="M330" s="93">
        <f t="shared" ca="1" si="152"/>
        <v>223400</v>
      </c>
      <c r="N330" s="93">
        <f t="shared" ca="1" si="152"/>
        <v>74028</v>
      </c>
      <c r="O330" s="93">
        <f t="shared" ca="1" si="150"/>
        <v>16.568487018800358</v>
      </c>
      <c r="P330" s="93">
        <f t="shared" ca="1" si="151"/>
        <v>33.136974037600716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446800</v>
      </c>
      <c r="M331" s="466">
        <f t="shared" ca="1" si="153"/>
        <v>223400</v>
      </c>
      <c r="N331" s="466">
        <f t="shared" ca="1" si="153"/>
        <v>74028</v>
      </c>
      <c r="O331" s="466">
        <f t="shared" ca="1" si="150"/>
        <v>16.568487018800358</v>
      </c>
      <c r="P331" s="466">
        <f t="shared" ca="1" si="151"/>
        <v>33.136974037600716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IFERROR(__xludf.DUMMYFUNCTION("IMPORTRANGE(""https://docs.google.com/spreadsheets/d/1MeEWN-I1oV_STSDYn1IFDPWt_1FKiwhDph83XaGc0o0/edit?usp=sharing"",""งบพรบ!EM15"")"),446800)</f>
        <v>446800</v>
      </c>
      <c r="M333" s="93">
        <f ca="1">IFERROR(__xludf.DUMMYFUNCTION("IMPORTRANGE(""https://docs.google.com/spreadsheets/d/1MeEWN-I1oV_STSDYn1IFDPWt_1FKiwhDph83XaGc0o0/edit?usp=sharing"",""งบพรบ!ER15"")"),223400)</f>
        <v>223400</v>
      </c>
      <c r="N333" s="93">
        <f ca="1">IFERROR(__xludf.DUMMYFUNCTION("IMPORTRANGE(""https://docs.google.com/spreadsheets/d/1MeEWN-I1oV_STSDYn1IFDPWt_1FKiwhDph83XaGc0o0/edit?usp=sharing"",""งบพรบ!ET15"")"),74028)</f>
        <v>74028</v>
      </c>
      <c r="O333" s="93">
        <f t="shared" ca="1" si="150"/>
        <v>16.568487018800358</v>
      </c>
      <c r="P333" s="93">
        <f t="shared" ca="1" si="151"/>
        <v>33.136974037600716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IFERROR(__xludf.DUMMYFUNCTION("IMPORTRANGE(""https://docs.google.com/spreadsheets/d/1MeEWN-I1oV_STSDYn1IFDPWt_1FKiwhDph83XaGc0o0/edit?usp=sharing"",""งบพรบ!EP15"")"),0)</f>
        <v>0</v>
      </c>
      <c r="M336" s="93">
        <f ca="1">IFERROR(__xludf.DUMMYFUNCTION("IMPORTRANGE(""https://docs.google.com/spreadsheets/d/1MeEWN-I1oV_STSDYn1IFDPWt_1FKiwhDph83XaGc0o0/edit?usp=sharing"",""งบพรบ!ES15"")"),0)</f>
        <v>0</v>
      </c>
      <c r="N336" s="93">
        <f ca="1">IFERROR(__xludf.DUMMYFUNCTION("IMPORTRANGE(""https://docs.google.com/spreadsheets/d/1MeEWN-I1oV_STSDYn1IFDPWt_1FKiwhDph83XaGc0o0/edit?usp=sharing"",""งบพรบ!EU15"")"),0)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IFERROR(__xludf.DUMMYFUNCTION("IMPORTRANGE(""https://docs.google.com/spreadsheets/d/1QqKyyYR6Q21VydFLVH3TRQUabQu_ym0Zz7PgGX0-kHA/edit?usp=sharing"",""แผน!EG15"")"),6000)</f>
        <v>6000</v>
      </c>
      <c r="J338" s="270">
        <f ca="1">IFERROR(__xludf.DUMMYFUNCTION("IMPORTRANGE(""https://docs.google.com/spreadsheets/d/1kVcqe37tkHyjCSG3S0O1AXqVkqjo8mSIZil3BcpIysc/edit?usp=sharing"",""ศูนย์!D15"")"),2683)</f>
        <v>2683</v>
      </c>
      <c r="K338" s="466">
        <f ca="1">IF(I338&gt;0,J338*100/I338,0)</f>
        <v>44.716666666666669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IFERROR(__xludf.DUMMYFUNCTION("IMPORTRANGE(""https://docs.google.com/spreadsheets/d/1QqKyyYR6Q21VydFLVH3TRQUabQu_ym0Zz7PgGX0-kHA/edit?usp=sharing"",""แผน!EH15"")"),8)</f>
        <v>8</v>
      </c>
      <c r="J340" s="270">
        <f ca="1">IFERROR(__xludf.DUMMYFUNCTION("IMPORTRANGE(""https://docs.google.com/spreadsheets/d/1kVcqe37tkHyjCSG3S0O1AXqVkqjo8mSIZil3BcpIysc/edit?usp=sharing"",""ศูนย์!E15"")"),2)</f>
        <v>2</v>
      </c>
      <c r="K340" s="466">
        <f ca="1">IF(I340&gt;0,J340*100/I340,0)</f>
        <v>25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IFERROR(__xludf.DUMMYFUNCTION("IMPORTRANGE(""https://docs.google.com/spreadsheets/d/1kVcqe37tkHyjCSG3S0O1AXqVkqjo8mSIZil3BcpIysc/edit?usp=sharing"",""ศูนย์!F15"")"),99)</f>
        <v>99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IFERROR(__xludf.DUMMYFUNCTION("IMPORTRANGE(""https://docs.google.com/spreadsheets/d/1kVcqe37tkHyjCSG3S0O1AXqVkqjo8mSIZil3BcpIysc/edit?usp=sharing"",""ศูนย์!G15"")"),0)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IFERROR(__xludf.DUMMYFUNCTION("IMPORTRANGE(""https://docs.google.com/spreadsheets/d/1kVcqe37tkHyjCSG3S0O1AXqVkqjo8mSIZil3BcpIysc/edit?usp=sharing"",""ศูนย์!H15"")"),6)</f>
        <v>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1250420</v>
      </c>
      <c r="M345" s="155">
        <f t="shared" ca="1" si="155"/>
        <v>669510</v>
      </c>
      <c r="N345" s="155">
        <f t="shared" ca="1" si="155"/>
        <v>529278.54</v>
      </c>
      <c r="O345" s="155">
        <f t="shared" ref="O345:O353" ca="1" si="156">IF(L345&gt;0,N345*100/L345,0)</f>
        <v>42.328060971513572</v>
      </c>
      <c r="P345" s="155">
        <f t="shared" ref="P345:P353" ca="1" si="157">IF(M345&gt;0,N345*100/M345,0)</f>
        <v>79.05461307523413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1250420</v>
      </c>
      <c r="M347" s="93">
        <f t="shared" ca="1" si="158"/>
        <v>669510</v>
      </c>
      <c r="N347" s="93">
        <f t="shared" ca="1" si="158"/>
        <v>529278.54</v>
      </c>
      <c r="O347" s="93">
        <f t="shared" ca="1" si="156"/>
        <v>42.328060971513572</v>
      </c>
      <c r="P347" s="93">
        <f t="shared" ca="1" si="157"/>
        <v>79.05461307523413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1161820</v>
      </c>
      <c r="M348" s="466">
        <f t="shared" ca="1" si="159"/>
        <v>580910</v>
      </c>
      <c r="N348" s="466">
        <f t="shared" ca="1" si="159"/>
        <v>440678.54</v>
      </c>
      <c r="O348" s="466">
        <f t="shared" ca="1" si="156"/>
        <v>37.930018419376495</v>
      </c>
      <c r="P348" s="466">
        <f t="shared" ca="1" si="157"/>
        <v>75.86003683875299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IFERROR(__xludf.DUMMYFUNCTION("IMPORTRANGE(""https://docs.google.com/spreadsheets/d/1MeEWN-I1oV_STSDYn1IFDPWt_1FKiwhDph83XaGc0o0/edit?usp=sharing"",""งบพรบ!EW15"")"),1161820)</f>
        <v>1161820</v>
      </c>
      <c r="M350" s="93">
        <f ca="1">IFERROR(__xludf.DUMMYFUNCTION("IMPORTRANGE(""https://docs.google.com/spreadsheets/d/1MeEWN-I1oV_STSDYn1IFDPWt_1FKiwhDph83XaGc0o0/edit?usp=sharing"",""งบพรบ!FB15"")"),580910)</f>
        <v>580910</v>
      </c>
      <c r="N350" s="93">
        <f ca="1">IFERROR(__xludf.DUMMYFUNCTION("IMPORTRANGE(""https://docs.google.com/spreadsheets/d/1MeEWN-I1oV_STSDYn1IFDPWt_1FKiwhDph83XaGc0o0/edit?usp=sharing"",""งบพรบ!FD15"")"),440678.54)</f>
        <v>440678.54</v>
      </c>
      <c r="O350" s="93">
        <f t="shared" ca="1" si="156"/>
        <v>37.930018419376495</v>
      </c>
      <c r="P350" s="93">
        <f t="shared" ca="1" si="157"/>
        <v>75.86003683875299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88600</v>
      </c>
      <c r="M351" s="466">
        <f t="shared" ca="1" si="160"/>
        <v>88600</v>
      </c>
      <c r="N351" s="466">
        <f t="shared" ca="1" si="160"/>
        <v>88600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IFERROR(__xludf.DUMMYFUNCTION("IMPORTRANGE(""https://docs.google.com/spreadsheets/d/1MeEWN-I1oV_STSDYn1IFDPWt_1FKiwhDph83XaGc0o0/edit?usp=sharing"",""งบพรบ!EZ15"")"),88600)</f>
        <v>88600</v>
      </c>
      <c r="M353" s="93">
        <f ca="1">IFERROR(__xludf.DUMMYFUNCTION("IMPORTRANGE(""https://docs.google.com/spreadsheets/d/1MeEWN-I1oV_STSDYn1IFDPWt_1FKiwhDph83XaGc0o0/edit?usp=sharing"",""งบพรบ!FC15"")"),88600)</f>
        <v>88600</v>
      </c>
      <c r="N353" s="93">
        <f ca="1">IFERROR(__xludf.DUMMYFUNCTION("IMPORTRANGE(""https://docs.google.com/spreadsheets/d/1MeEWN-I1oV_STSDYn1IFDPWt_1FKiwhDph83XaGc0o0/edit?usp=sharing"",""งบพรบ!FE15"")"),88600)</f>
        <v>88600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IFERROR(__xludf.DUMMYFUNCTION("IMPORTRANGE(""https://docs.google.com/spreadsheets/d/1QqKyyYR6Q21VydFLVH3TRQUabQu_ym0Zz7PgGX0-kHA/edit?usp=sharing"",""แผน!EP15"")"),460)</f>
        <v>460</v>
      </c>
      <c r="J355" s="433">
        <f ca="1">J362</f>
        <v>82</v>
      </c>
      <c r="K355" s="434">
        <f ca="1">IF(I355&gt;0,J355*100/I355,0)</f>
        <v>17.826086956521738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IFERROR(__xludf.DUMMYFUNCTION("IMPORTRANGE(""https://docs.google.com/spreadsheets/d/1XWAQStnk-4SwqDmLtmXYiTMKHgktTP8We1SCoS47DrQ/edit?usp=sharing"",""จัดที่ดิน!W15"")"),121)</f>
        <v>121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IFERROR(__xludf.DUMMYFUNCTION("IMPORTRANGE(""https://docs.google.com/spreadsheets/d/1QqKyyYR6Q21VydFLVH3TRQUabQu_ym0Zz7PgGX0-kHA/edit?usp=sharing"",""แผน!EO15"")"),3600)</f>
        <v>3600</v>
      </c>
      <c r="J359" s="270">
        <f ca="1">IFERROR(__xludf.DUMMYFUNCTION("IMPORTRANGE(""https://docs.google.com/spreadsheets/d/1XWAQStnk-4SwqDmLtmXYiTMKHgktTP8We1SCoS47DrQ/edit?usp=sharing"",""จัดที่ดิน!X15"")"),578.15)</f>
        <v>578.15</v>
      </c>
      <c r="K359" s="466">
        <f t="shared" ca="1" si="161"/>
        <v>16.059722222222224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IFERROR(__xludf.DUMMYFUNCTION("IMPORTRANGE(""https://docs.google.com/spreadsheets/d/1QqKyyYR6Q21VydFLVH3TRQUabQu_ym0Zz7PgGX0-kHA/edit?usp=sharing"",""แผน!EP15"")"),460)</f>
        <v>460</v>
      </c>
      <c r="J360" s="270">
        <f ca="1">IFERROR(__xludf.DUMMYFUNCTION("IMPORTRANGE(""https://docs.google.com/spreadsheets/d/1XWAQStnk-4SwqDmLtmXYiTMKHgktTP8We1SCoS47DrQ/edit?usp=sharing"",""จัดที่ดิน!Y15"")"),86)</f>
        <v>86</v>
      </c>
      <c r="K360" s="466">
        <f t="shared" ca="1" si="161"/>
        <v>18.695652173913043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IFERROR(__xludf.DUMMYFUNCTION("IMPORTRANGE(""https://docs.google.com/spreadsheets/d/1XWAQStnk-4SwqDmLtmXYiTMKHgktTP8We1SCoS47DrQ/edit?usp=sharing"",""จัดที่ดิน!Z15"")"),371.539999999999)</f>
        <v>371.539999999999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IFERROR(__xludf.DUMMYFUNCTION("IMPORTRANGE(""https://docs.google.com/spreadsheets/d/1QqKyyYR6Q21VydFLVH3TRQUabQu_ym0Zz7PgGX0-kHA/edit?usp=sharing"",""แผน!EP15"")"),460)</f>
        <v>460</v>
      </c>
      <c r="J362" s="270">
        <f ca="1">IFERROR(__xludf.DUMMYFUNCTION("IMPORTRANGE(""https://docs.google.com/spreadsheets/d/1XWAQStnk-4SwqDmLtmXYiTMKHgktTP8We1SCoS47DrQ/edit?usp=sharing"",""จัดที่ดิน!AA15"")"),82)</f>
        <v>82</v>
      </c>
      <c r="K362" s="466">
        <f t="shared" ca="1" si="161"/>
        <v>17.826086956521738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IFERROR(__xludf.DUMMYFUNCTION("IMPORTRANGE(""https://docs.google.com/spreadsheets/d/1XWAQStnk-4SwqDmLtmXYiTMKHgktTP8We1SCoS47DrQ/edit?usp=sharing"",""จัดที่ดิน!AB15"")"),414.28)</f>
        <v>414.28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1360</v>
      </c>
      <c r="J364" s="447">
        <f t="shared" ca="1" si="162"/>
        <v>207</v>
      </c>
      <c r="K364" s="448">
        <f t="shared" ca="1" si="161"/>
        <v>15.220588235294118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IFERROR(__xludf.DUMMYFUNCTION("IMPORTRANGE(""https://docs.google.com/spreadsheets/d/1QqKyyYR6Q21VydFLVH3TRQUabQu_ym0Zz7PgGX0-kHA/edit?usp=sharing"",""แผน!EJ15"")"),110)</f>
        <v>110</v>
      </c>
      <c r="J365" s="459">
        <f ca="1">J372</f>
        <v>6</v>
      </c>
      <c r="K365" s="460">
        <f t="shared" ca="1" si="161"/>
        <v>5.4545454545454541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IFERROR(__xludf.DUMMYFUNCTION("IMPORTRANGE(""https://docs.google.com/spreadsheets/d/1XWAQStnk-4SwqDmLtmXYiTMKHgktTP8We1SCoS47DrQ/edit?usp=sharing"",""จัดที่ดิน!E15"")"),12)</f>
        <v>12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IFERROR(__xludf.DUMMYFUNCTION("IMPORTRANGE(""https://docs.google.com/spreadsheets/d/1QqKyyYR6Q21VydFLVH3TRQUabQu_ym0Zz7PgGX0-kHA/edit?usp=sharing"",""แผน!EI15"")"),1100)</f>
        <v>1100</v>
      </c>
      <c r="J369" s="270">
        <f ca="1">IFERROR(__xludf.DUMMYFUNCTION("IMPORTRANGE(""https://docs.google.com/spreadsheets/d/1XWAQStnk-4SwqDmLtmXYiTMKHgktTP8We1SCoS47DrQ/edit?usp=sharing"",""จัดที่ดิน!F15"")"),62.55)</f>
        <v>62.55</v>
      </c>
      <c r="K369" s="466">
        <f t="shared" ca="1" si="163"/>
        <v>5.6863636363636365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IFERROR(__xludf.DUMMYFUNCTION("IMPORTRANGE(""https://docs.google.com/spreadsheets/d/1QqKyyYR6Q21VydFLVH3TRQUabQu_ym0Zz7PgGX0-kHA/edit?usp=sharing"",""แผน!EJ15"")"),110)</f>
        <v>110</v>
      </c>
      <c r="J370" s="270">
        <f ca="1">IFERROR(__xludf.DUMMYFUNCTION("IMPORTRANGE(""https://docs.google.com/spreadsheets/d/1XWAQStnk-4SwqDmLtmXYiTMKHgktTP8We1SCoS47DrQ/edit?usp=sharing"",""จัดที่ดิน!G15"")"),6)</f>
        <v>6</v>
      </c>
      <c r="K370" s="466">
        <f t="shared" ca="1" si="163"/>
        <v>5.4545454545454541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IFERROR(__xludf.DUMMYFUNCTION("IMPORTRANGE(""https://docs.google.com/spreadsheets/d/1XWAQStnk-4SwqDmLtmXYiTMKHgktTP8We1SCoS47DrQ/edit?usp=sharing"",""จัดที่ดิน!H15"")"),23.64)</f>
        <v>23.64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IFERROR(__xludf.DUMMYFUNCTION("IMPORTRANGE(""https://docs.google.com/spreadsheets/d/1QqKyyYR6Q21VydFLVH3TRQUabQu_ym0Zz7PgGX0-kHA/edit?usp=sharing"",""แผน!EJ15"")"),110)</f>
        <v>110</v>
      </c>
      <c r="J372" s="270">
        <f ca="1">IFERROR(__xludf.DUMMYFUNCTION("IMPORTRANGE(""https://docs.google.com/spreadsheets/d/1XWAQStnk-4SwqDmLtmXYiTMKHgktTP8We1SCoS47DrQ/edit?usp=sharing"",""จัดที่ดิน!I15"")"),6)</f>
        <v>6</v>
      </c>
      <c r="K372" s="466">
        <f t="shared" ca="1" si="163"/>
        <v>5.4545454545454541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IFERROR(__xludf.DUMMYFUNCTION("IMPORTRANGE(""https://docs.google.com/spreadsheets/d/1XWAQStnk-4SwqDmLtmXYiTMKHgktTP8We1SCoS47DrQ/edit?usp=sharing"",""จัดที่ดิน!J15"")"),65.72)</f>
        <v>65.72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IFERROR(__xludf.DUMMYFUNCTION("IMPORTRANGE(""https://docs.google.com/spreadsheets/d/1QqKyyYR6Q21VydFLVH3TRQUabQu_ym0Zz7PgGX0-kHA/edit?usp=sharing"",""แผน!EU15"")"),1250)</f>
        <v>1250</v>
      </c>
      <c r="J374" s="459">
        <f ca="1">J381</f>
        <v>201</v>
      </c>
      <c r="K374" s="460">
        <f t="shared" ca="1" si="163"/>
        <v>16.079999999999998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IFERROR(__xludf.DUMMYFUNCTION("IMPORTRANGE(""https://docs.google.com/spreadsheets/d/1XWAQStnk-4SwqDmLtmXYiTMKHgktTP8We1SCoS47DrQ/edit?usp=sharing"",""จัดที่ดิน!AH15"")"),109)</f>
        <v>109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IFERROR(__xludf.DUMMYFUNCTION("IMPORTRANGE(""https://docs.google.com/spreadsheets/d/1QqKyyYR6Q21VydFLVH3TRQUabQu_ym0Zz7PgGX0-kHA/edit?usp=sharing"",""แผน!ET15"")"),2500)</f>
        <v>2500</v>
      </c>
      <c r="J378" s="270">
        <f ca="1">IFERROR(__xludf.DUMMYFUNCTION("IMPORTRANGE(""https://docs.google.com/spreadsheets/d/1XWAQStnk-4SwqDmLtmXYiTMKHgktTP8We1SCoS47DrQ/edit?usp=sharing"",""จัดที่ดิน!AI15"")"),515.6)</f>
        <v>515.6</v>
      </c>
      <c r="K378" s="466">
        <f t="shared" ca="1" si="164"/>
        <v>20.623999999999999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IFERROR(__xludf.DUMMYFUNCTION("IMPORTRANGE(""https://docs.google.com/spreadsheets/d/1QqKyyYR6Q21VydFLVH3TRQUabQu_ym0Zz7PgGX0-kHA/edit?usp=sharing"",""แผน!EU15"")"),1250)</f>
        <v>1250</v>
      </c>
      <c r="J379" s="270">
        <f ca="1">IFERROR(__xludf.DUMMYFUNCTION("IMPORTRANGE(""https://docs.google.com/spreadsheets/d/1XWAQStnk-4SwqDmLtmXYiTMKHgktTP8We1SCoS47DrQ/edit?usp=sharing"",""จัดที่ดิน!AJ15"")"),235)</f>
        <v>235</v>
      </c>
      <c r="K379" s="466">
        <f t="shared" ca="1" si="164"/>
        <v>18.8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IFERROR(__xludf.DUMMYFUNCTION("IMPORTRANGE(""https://docs.google.com/spreadsheets/d/1XWAQStnk-4SwqDmLtmXYiTMKHgktTP8We1SCoS47DrQ/edit?usp=sharing"",""จัดที่ดิน!AK15"")"),1584.51)</f>
        <v>1584.51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IFERROR(__xludf.DUMMYFUNCTION("IMPORTRANGE(""https://docs.google.com/spreadsheets/d/1QqKyyYR6Q21VydFLVH3TRQUabQu_ym0Zz7PgGX0-kHA/edit?usp=sharing"",""แผน!EU15"")"),1250)</f>
        <v>1250</v>
      </c>
      <c r="J381" s="270">
        <f ca="1">IFERROR(__xludf.DUMMYFUNCTION("IMPORTRANGE(""https://docs.google.com/spreadsheets/d/1XWAQStnk-4SwqDmLtmXYiTMKHgktTP8We1SCoS47DrQ/edit?usp=sharing"",""จัดที่ดิน!AL15"")"),201)</f>
        <v>201</v>
      </c>
      <c r="K381" s="466">
        <f t="shared" ca="1" si="164"/>
        <v>16.079999999999998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IFERROR(__xludf.DUMMYFUNCTION("IMPORTRANGE(""https://docs.google.com/spreadsheets/d/1XWAQStnk-4SwqDmLtmXYiTMKHgktTP8We1SCoS47DrQ/edit?usp=sharing"",""จัดที่ดิน!AM15"")"),1334.41)</f>
        <v>1334.41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IFERROR(__xludf.DUMMYFUNCTION("IMPORTRANGE(""https://docs.google.com/spreadsheets/d/1QqKyyYR6Q21VydFLVH3TRQUabQu_ym0Zz7PgGX0-kHA/edit?usp=sharing"",""แผน!EW15"")"),150)</f>
        <v>150</v>
      </c>
      <c r="J385" s="469">
        <f ca="1">IFERROR(__xludf.DUMMYFUNCTION("IMPORTRANGE(""https://docs.google.com/spreadsheets/d/1XWAQStnk-4SwqDmLtmXYiTMKHgktTP8We1SCoS47DrQ/edit?usp=sharing"",""จัดที่ดิน!AP15"")"),15)</f>
        <v>15</v>
      </c>
      <c r="K385" s="470">
        <f ca="1">IF(I385&gt;0,J385*100/I385,0)</f>
        <v>10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IFERROR(__xludf.DUMMYFUNCTION("IMPORTRANGE(""https://docs.google.com/spreadsheets/d/1MeEWN-I1oV_STSDYn1IFDPWt_1FKiwhDph83XaGc0o0/edit?usp=sharing"",""งบพรบ!FG15"")"),0)</f>
        <v>0</v>
      </c>
      <c r="M394" s="93">
        <f ca="1">IFERROR(__xludf.DUMMYFUNCTION("IMPORTRANGE(""https://docs.google.com/spreadsheets/d/1MeEWN-I1oV_STSDYn1IFDPWt_1FKiwhDph83XaGc0o0/edit?usp=sharing"",""งบพรบ!FL15"")"),0)</f>
        <v>0</v>
      </c>
      <c r="N394" s="93">
        <f ca="1">IFERROR(__xludf.DUMMYFUNCTION("IMPORTRANGE(""https://docs.google.com/spreadsheets/d/1MeEWN-I1oV_STSDYn1IFDPWt_1FKiwhDph83XaGc0o0/edit?usp=sharing"",""งบพรบ!FN15"")"),0)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IFERROR(__xludf.DUMMYFUNCTION("IMPORTRANGE(""https://docs.google.com/spreadsheets/d/1MeEWN-I1oV_STSDYn1IFDPWt_1FKiwhDph83XaGc0o0/edit?usp=sharing"",""งบพรบ!FJ15"")"),0)</f>
        <v>0</v>
      </c>
      <c r="M397" s="93">
        <f ca="1">IFERROR(__xludf.DUMMYFUNCTION("IMPORTRANGE(""https://docs.google.com/spreadsheets/d/1MeEWN-I1oV_STSDYn1IFDPWt_1FKiwhDph83XaGc0o0/edit?usp=sharing"",""งบพรบ!FM15"")"),0)</f>
        <v>0</v>
      </c>
      <c r="N397" s="93">
        <f ca="1">IFERROR(__xludf.DUMMYFUNCTION("IMPORTRANGE(""https://docs.google.com/spreadsheets/d/1MeEWN-I1oV_STSDYn1IFDPWt_1FKiwhDph83XaGc0o0/edit?usp=sharing"",""งบพรบ!FO15"")"),0)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IFERROR(__xludf.DUMMYFUNCTION("IMPORTRANGE(""https://docs.google.com/spreadsheets/d/1MeEWN-I1oV_STSDYn1IFDPWt_1FKiwhDph83XaGc0o0/edit?usp=sharing"",""งบพรบ!FQ15"")"),0)</f>
        <v>0</v>
      </c>
      <c r="M407" s="93">
        <f ca="1">IFERROR(__xludf.DUMMYFUNCTION("IMPORTRANGE(""https://docs.google.com/spreadsheets/d/1MeEWN-I1oV_STSDYn1IFDPWt_1FKiwhDph83XaGc0o0/edit?usp=sharing"",""งบพรบ!FV15"")"),0)</f>
        <v>0</v>
      </c>
      <c r="N407" s="93">
        <f ca="1">IFERROR(__xludf.DUMMYFUNCTION("IMPORTRANGE(""https://docs.google.com/spreadsheets/d/1MeEWN-I1oV_STSDYn1IFDPWt_1FKiwhDph83XaGc0o0/edit?usp=sharing"",""งบพรบ!FX15"")"),0)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IFERROR(__xludf.DUMMYFUNCTION("IMPORTRANGE(""https://docs.google.com/spreadsheets/d/1MeEWN-I1oV_STSDYn1IFDPWt_1FKiwhDph83XaGc0o0/edit?usp=sharing"",""งบพรบ!FT15"")"),0)</f>
        <v>0</v>
      </c>
      <c r="M410" s="93">
        <f ca="1">IFERROR(__xludf.DUMMYFUNCTION("IMPORTRANGE(""https://docs.google.com/spreadsheets/d/1MeEWN-I1oV_STSDYn1IFDPWt_1FKiwhDph83XaGc0o0/edit?usp=sharing"",""งบพรบ!FW15"")"),0)</f>
        <v>0</v>
      </c>
      <c r="N410" s="93">
        <f ca="1">IFERROR(__xludf.DUMMYFUNCTION("IMPORTRANGE(""https://docs.google.com/spreadsheets/d/1MeEWN-I1oV_STSDYn1IFDPWt_1FKiwhDph83XaGc0o0/edit?usp=sharing"",""งบพรบ!FY15"")"),0)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2237375</v>
      </c>
      <c r="M414" s="517">
        <f t="shared" si="181"/>
        <v>0</v>
      </c>
      <c r="N414" s="517">
        <f t="shared" si="181"/>
        <v>244221</v>
      </c>
      <c r="O414" s="517">
        <f ca="1">IF(L414&gt;0,N414*100/L414,0)</f>
        <v>10.915514833230906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si="184"/>
        <v>0</v>
      </c>
      <c r="N419" s="155">
        <f t="shared" si="184"/>
        <v>17170</v>
      </c>
      <c r="O419" s="155">
        <f t="shared" ref="O419:O424" ca="1" si="185">IF(L419&gt;0,N419*100/L419,0)</f>
        <v>9.103923647932131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188600</v>
      </c>
      <c r="M421" s="93">
        <f t="shared" si="187"/>
        <v>0</v>
      </c>
      <c r="N421" s="93">
        <f t="shared" si="187"/>
        <v>17170</v>
      </c>
      <c r="O421" s="93">
        <f t="shared" ca="1" si="185"/>
        <v>9.103923647932131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si="188"/>
        <v>0</v>
      </c>
      <c r="N422" s="466">
        <f t="shared" si="188"/>
        <v>17170</v>
      </c>
      <c r="O422" s="466">
        <f t="shared" ca="1" si="185"/>
        <v>9.103923647932131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IFERROR(__xludf.DUMMYFUNCTION("IMPORTRANGE(""https://docs.google.com/spreadsheets/d/1QqKyyYR6Q21VydFLVH3TRQUabQu_ym0Zz7PgGX0-kHA/edit?usp=sharing"",""แผน!EY15"")"),188600)</f>
        <v>188600</v>
      </c>
      <c r="M424" s="93">
        <v>0</v>
      </c>
      <c r="N424" s="93">
        <f>N425+N426+N427+N428</f>
        <v>17170</v>
      </c>
      <c r="O424" s="93">
        <f t="shared" ca="1" si="185"/>
        <v>9.103923647932131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13810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f>360+3000</f>
        <v>3360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60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2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IFERROR(__xludf.DUMMYFUNCTION("IMPORTRANGE(""https://docs.google.com/spreadsheets/d/1QqKyyYR6Q21VydFLVH3TRQUabQu_ym0Zz7PgGX0-kHA/edit?usp=sharing"",""แผน!FC15"")"),60)</f>
        <v>60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IFERROR(__xludf.DUMMYFUNCTION("IMPORTRANGE(""https://docs.google.com/spreadsheets/d/1QqKyyYR6Q21VydFLVH3TRQUabQu_ym0Zz7PgGX0-kHA/edit?usp=sharing"",""แผน!FD15"")"),40)</f>
        <v>40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IFERROR(__xludf.DUMMYFUNCTION("IMPORTRANGE(""https://docs.google.com/spreadsheets/d/1QqKyyYR6Q21VydFLVH3TRQUabQu_ym0Zz7PgGX0-kHA/edit?usp=sharing"",""แผน!FE15"")"),1)</f>
        <v>1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IFERROR(__xludf.DUMMYFUNCTION("IMPORTRANGE(""https://docs.google.com/spreadsheets/d/1QqKyyYR6Q21VydFLVH3TRQUabQu_ym0Zz7PgGX0-kHA/edit?usp=sharing"",""แผน!FF15"")"),20)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IFERROR(__xludf.DUMMYFUNCTION("IMPORTRANGE(""https://docs.google.com/spreadsheets/d/1QqKyyYR6Q21VydFLVH3TRQUabQu_ym0Zz7PgGX0-kHA/edit?usp=sharing"",""แผน!FG15"")"),1)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150</v>
      </c>
      <c r="J442" s="555">
        <f t="shared" si="195"/>
        <v>50</v>
      </c>
      <c r="K442" s="556">
        <f t="shared" ca="1" si="194"/>
        <v>33.333333333333336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300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714280</v>
      </c>
      <c r="M444" s="195">
        <f t="shared" si="197"/>
        <v>0</v>
      </c>
      <c r="N444" s="195">
        <f t="shared" si="197"/>
        <v>150100</v>
      </c>
      <c r="O444" s="195">
        <f t="shared" ref="O444:O449" ca="1" si="198">IF(L444&gt;0,N444*100/L444,0)</f>
        <v>21.014168113344908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714280</v>
      </c>
      <c r="M446" s="93">
        <f t="shared" si="200"/>
        <v>0</v>
      </c>
      <c r="N446" s="93">
        <f t="shared" si="200"/>
        <v>150100</v>
      </c>
      <c r="O446" s="93">
        <f t="shared" ca="1" si="198"/>
        <v>21.014168113344908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714280</v>
      </c>
      <c r="M447" s="466">
        <f t="shared" si="201"/>
        <v>0</v>
      </c>
      <c r="N447" s="466">
        <f t="shared" si="201"/>
        <v>150100</v>
      </c>
      <c r="O447" s="466">
        <f t="shared" ca="1" si="198"/>
        <v>21.014168113344908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IFERROR(__xludf.DUMMYFUNCTION("IMPORTRANGE(""https://docs.google.com/spreadsheets/d/1QqKyyYR6Q21VydFLVH3TRQUabQu_ym0Zz7PgGX0-kHA/edit?usp=sharing"",""แผน!FJ15"")"),714280)</f>
        <v>714280</v>
      </c>
      <c r="M449" s="93">
        <v>0</v>
      </c>
      <c r="N449" s="93">
        <f>N450+N451+N452+N453</f>
        <v>150100</v>
      </c>
      <c r="O449" s="93">
        <f t="shared" ca="1" si="198"/>
        <v>21.014168113344908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101220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39000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f>3480+2900+3500</f>
        <v>9880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IFERROR(__xludf.DUMMYFUNCTION("IMPORTRANGE(""https://docs.google.com/spreadsheets/d/1QqKyyYR6Q21VydFLVH3TRQUabQu_ym0Zz7PgGX0-kHA/edit?usp=sharing"",""แผน!FN15"")"),150)</f>
        <v>150</v>
      </c>
      <c r="J460" s="215">
        <v>50</v>
      </c>
      <c r="K460" s="466">
        <f ca="1">IF(I460&gt;0,J460*100/I460,0)</f>
        <v>33.333333333333336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IFERROR(__xludf.DUMMYFUNCTION("IMPORTRANGE(""https://docs.google.com/spreadsheets/d/1QqKyyYR6Q21VydFLVH3TRQUabQu_ym0Zz7PgGX0-kHA/edit?usp=sharing"",""แผน!FO15"")"),300)</f>
        <v>300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IFERROR(__xludf.DUMMYFUNCTION("IMPORTRANGE(""https://docs.google.com/spreadsheets/d/1QqKyyYR6Q21VydFLVH3TRQUabQu_ym0Zz7PgGX0-kHA/edit?usp=sharing"",""แผน!FO15"")"),300)</f>
        <v>300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IFERROR(__xludf.DUMMYFUNCTION("IMPORTRANGE(""https://docs.google.com/spreadsheets/d/1QqKyyYR6Q21VydFLVH3TRQUabQu_ym0Zz7PgGX0-kHA/edit?usp=sharing"",""แผน!FN15"")"),150)</f>
        <v>150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IFERROR(__xludf.DUMMYFUNCTION("IMPORTRANGE(""https://docs.google.com/spreadsheets/d/1QqKyyYR6Q21VydFLVH3TRQUabQu_ym0Zz7PgGX0-kHA/edit?usp=sharing"",""แผน!FX15"")"),51)</f>
        <v>51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IFERROR(__xludf.DUMMYFUNCTION("IMPORTRANGE(""https://docs.google.com/spreadsheets/d/1QqKyyYR6Q21VydFLVH3TRQUabQu_ym0Zz7PgGX0-kHA/edit?usp=sharing"",""แผน!FW15"")"),500)</f>
        <v>500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416253</v>
      </c>
      <c r="M467" s="195">
        <f t="shared" si="206"/>
        <v>0</v>
      </c>
      <c r="N467" s="195">
        <f t="shared" si="206"/>
        <v>16220</v>
      </c>
      <c r="O467" s="195">
        <f t="shared" ref="O467:O472" ca="1" si="207">IF(L467&gt;0,N467*100/L467,0)</f>
        <v>3.8966686125985879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416253</v>
      </c>
      <c r="M469" s="93">
        <f t="shared" si="209"/>
        <v>0</v>
      </c>
      <c r="N469" s="93">
        <f t="shared" si="209"/>
        <v>16220</v>
      </c>
      <c r="O469" s="93">
        <f t="shared" ca="1" si="207"/>
        <v>3.8966686125985879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416253</v>
      </c>
      <c r="M470" s="466">
        <f t="shared" si="210"/>
        <v>0</v>
      </c>
      <c r="N470" s="466">
        <f t="shared" si="210"/>
        <v>16220</v>
      </c>
      <c r="O470" s="466">
        <f t="shared" ca="1" si="207"/>
        <v>3.8966686125985879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IFERROR(__xludf.DUMMYFUNCTION("IMPORTRANGE(""https://docs.google.com/spreadsheets/d/1QqKyyYR6Q21VydFLVH3TRQUabQu_ym0Zz7PgGX0-kHA/edit?usp=sharing"",""แผน!FS15"")"),416253)</f>
        <v>416253</v>
      </c>
      <c r="M472" s="93">
        <v>0</v>
      </c>
      <c r="N472" s="93">
        <f>N473+N474+N475+N476</f>
        <v>16220</v>
      </c>
      <c r="O472" s="93">
        <f t="shared" ca="1" si="207"/>
        <v>3.8966686125985879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/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f>2280+9540+1900+2500</f>
        <v>16220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IFERROR(__xludf.DUMMYFUNCTION("IMPORTRANGE(""https://docs.google.com/spreadsheets/d/1QqKyyYR6Q21VydFLVH3TRQUabQu_ym0Zz7PgGX0-kHA/edit?usp=sharing"",""แผน!FY15"")"),450)</f>
        <v>450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IFERROR(__xludf.DUMMYFUNCTION("IMPORTRANGE(""https://docs.google.com/spreadsheets/d/1QqKyyYR6Q21VydFLVH3TRQUabQu_ym0Zz7PgGX0-kHA/edit?usp=sharing"",""แผน!FZ15"")"),45)</f>
        <v>45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IFERROR(__xludf.DUMMYFUNCTION("IMPORTRANGE(""https://docs.google.com/spreadsheets/d/1QqKyyYR6Q21VydFLVH3TRQUabQu_ym0Zz7PgGX0-kHA/edit?usp=sharing"",""แผน!GA15"")"),50)</f>
        <v>50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IFERROR(__xludf.DUMMYFUNCTION("IMPORTRANGE(""https://docs.google.com/spreadsheets/d/1QqKyyYR6Q21VydFLVH3TRQUabQu_ym0Zz7PgGX0-kHA/edit?usp=sharing"",""แผน!GB15"")"),5)</f>
        <v>5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IFERROR(__xludf.DUMMYFUNCTION("IMPORTRANGE(""https://docs.google.com/spreadsheets/d/1QqKyyYR6Q21VydFLVH3TRQUabQu_ym0Zz7PgGX0-kHA/edit?usp=sharing"",""แผน!GC15"")"),1)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IFERROR(__xludf.DUMMYFUNCTION("IMPORTRANGE(""https://docs.google.com/spreadsheets/d/1QqKyyYR6Q21VydFLVH3TRQUabQu_ym0Zz7PgGX0-kHA/edit?usp=sharing"",""แผน!FY15"")"),450)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IFERROR(__xludf.DUMMYFUNCTION("IMPORTRANGE(""https://docs.google.com/spreadsheets/d/1QqKyyYR6Q21VydFLVH3TRQUabQu_ym0Zz7PgGX0-kHA/edit?usp=sharing"",""แผน!GA15"")"),50)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IFERROR(__xludf.DUMMYFUNCTION("IMPORTRANGE(""https://docs.google.com/spreadsheets/d/1QqKyyYR6Q21VydFLVH3TRQUabQu_ym0Zz7PgGX0-kHA/edit?usp=sharing"",""แผน!GU15"")"),0)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28996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490412</v>
      </c>
      <c r="M544" s="155">
        <f t="shared" si="236"/>
        <v>0</v>
      </c>
      <c r="N544" s="155">
        <f t="shared" si="236"/>
        <v>56639</v>
      </c>
      <c r="O544" s="155">
        <f t="shared" ref="O544:O549" ca="1" si="237">IF(L544&gt;0,N544*100/L544,0)</f>
        <v>11.549268778088628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490412</v>
      </c>
      <c r="M546" s="93">
        <f t="shared" si="240"/>
        <v>0</v>
      </c>
      <c r="N546" s="93">
        <f t="shared" si="240"/>
        <v>56639</v>
      </c>
      <c r="O546" s="93">
        <f t="shared" ca="1" si="237"/>
        <v>11.549268778088628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490412</v>
      </c>
      <c r="M547" s="466">
        <f t="shared" si="241"/>
        <v>0</v>
      </c>
      <c r="N547" s="466">
        <f t="shared" si="241"/>
        <v>56639</v>
      </c>
      <c r="O547" s="466">
        <f t="shared" ca="1" si="237"/>
        <v>11.549268778088628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IFERROR(__xludf.DUMMYFUNCTION("IMPORTRANGE(""https://docs.google.com/spreadsheets/d/1QqKyyYR6Q21VydFLVH3TRQUabQu_ym0Zz7PgGX0-kHA/edit?usp=sharing"",""แผน!HB15"")"),490412)</f>
        <v>490412</v>
      </c>
      <c r="M549" s="93">
        <v>0</v>
      </c>
      <c r="N549" s="93">
        <f>N550+N551+N552+N553+N554</f>
        <v>56639</v>
      </c>
      <c r="O549" s="93">
        <f t="shared" ca="1" si="237"/>
        <v>11.549268778088628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39000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f>8439+9200</f>
        <v>17639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28996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IFERROR(__xludf.DUMMYFUNCTION("IMPORTRANGE(""https://docs.google.com/spreadsheets/d/1QqKyyYR6Q21VydFLVH3TRQUabQu_ym0Zz7PgGX0-kHA/edit?usp=sharing"",""แผน!HH15"")"),28996)</f>
        <v>28996</v>
      </c>
      <c r="J560" s="193">
        <f t="shared" ref="J560:J561" si="247">J562+J564+J566</f>
        <v>25861.59</v>
      </c>
      <c r="K560" s="380">
        <f t="shared" ca="1" si="246"/>
        <v>89.190198648089392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IFERROR(__xludf.DUMMYFUNCTION("IMPORTRANGE(""https://docs.google.com/spreadsheets/d/1QqKyyYR6Q21VydFLVH3TRQUabQu_ym0Zz7PgGX0-kHA/edit?usp=sharing"",""แผน!HG15"")"),6226)</f>
        <v>6226</v>
      </c>
      <c r="J561" s="193">
        <f t="shared" si="247"/>
        <v>5728</v>
      </c>
      <c r="K561" s="380">
        <f t="shared" ca="1" si="246"/>
        <v>92.001284934147122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22336.28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4752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3357.31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951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168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25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IFERROR(__xludf.DUMMYFUNCTION("IMPORTRANGE(""https://docs.google.com/spreadsheets/d/1QqKyyYR6Q21VydFLVH3TRQUabQu_ym0Zz7PgGX0-kHA/edit?usp=sharing"",""แผน!HH15"")"),28996)</f>
        <v>28996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IFERROR(__xludf.DUMMYFUNCTION("IMPORTRANGE(""https://docs.google.com/spreadsheets/d/1QqKyyYR6Q21VydFLVH3TRQUabQu_ym0Zz7PgGX0-kHA/edit?usp=sharing"",""แผน!HG15"")"),6226)</f>
        <v>6226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IFERROR(__xludf.DUMMYFUNCTION("IMPORTRANGE(""https://docs.google.com/spreadsheets/d/1QqKyyYR6Q21VydFLVH3TRQUabQu_ym0Zz7PgGX0-kHA/edit?usp=sharing"",""แผน!HH15"")"),28996)</f>
        <v>28996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IFERROR(__xludf.DUMMYFUNCTION("IMPORTRANGE(""https://docs.google.com/spreadsheets/d/1QqKyyYR6Q21VydFLVH3TRQUabQu_ym0Zz7PgGX0-kHA/edit?usp=sharing"",""แผน!HG15"")"),6226)</f>
        <v>6226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2500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IFERROR(__xludf.DUMMYFUNCTION("IMPORTRANGE(""https://docs.google.com/spreadsheets/d/1QqKyyYR6Q21VydFLVH3TRQUabQu_ym0Zz7PgGX0-kHA/edit?usp=sharing"",""แผน!HJ15"")"),2500)</f>
        <v>2500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IFERROR(__xludf.DUMMYFUNCTION("IMPORTRANGE(""https://docs.google.com/spreadsheets/d/1QqKyyYR6Q21VydFLVH3TRQUabQu_ym0Zz7PgGX0-kHA/edit?usp=sharing"",""แผน!HI15"")"),500)</f>
        <v>500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IFERROR(__xludf.DUMMYFUNCTION("IMPORTRANGE(""https://docs.google.com/spreadsheets/d/1QqKyyYR6Q21VydFLVH3TRQUabQu_ym0Zz7PgGX0-kHA/edit?usp=sharing"",""แผน!HL15"")"),0)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IFERROR(__xludf.DUMMYFUNCTION("IMPORTRANGE(""https://docs.google.com/spreadsheets/d/1QqKyyYR6Q21VydFLVH3TRQUabQu_ym0Zz7PgGX0-kHA/edit?usp=sharing"",""แผน!HK15"")"),0)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140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400230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400230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400230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IFERROR(__xludf.DUMMYFUNCTION("IMPORTRANGE(""https://docs.google.com/spreadsheets/d/1QqKyyYR6Q21VydFLVH3TRQUabQu_ym0Zz7PgGX0-kHA/edit?usp=sharing"",""แผน!HN15"")"),400230)</f>
        <v>400230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IFERROR(__xludf.DUMMYFUNCTION("IMPORTRANGE(""https://docs.google.com/spreadsheets/d/1QqKyyYR6Q21VydFLVH3TRQUabQu_ym0Zz7PgGX0-kHA/edit?usp=sharing"",""แผน!HR15"")"),0)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IFERROR(__xludf.DUMMYFUNCTION("IMPORTRANGE(""https://docs.google.com/spreadsheets/d/1QqKyyYR6Q21VydFLVH3TRQUabQu_ym0Zz7PgGX0-kHA/edit?usp=sharing"",""แผน!HR15"")"),0)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IFERROR(__xludf.DUMMYFUNCTION("IMPORTRANGE(""https://docs.google.com/spreadsheets/d/1XWAQStnk-4SwqDmLtmXYiTMKHgktTP8We1SCoS47DrQ/edit?usp=sharing"",""จัดที่ดิน!AS15"")"),2)</f>
        <v>2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IFERROR(__xludf.DUMMYFUNCTION("IMPORTRANGE(""https://docs.google.com/spreadsheets/d/1XWAQStnk-4SwqDmLtmXYiTMKHgktTP8We1SCoS47DrQ/edit?usp=sharing"",""จัดที่ดิน!AT15"")"),1.5)</f>
        <v>1.5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IFERROR(__xludf.DUMMYFUNCTION("IMPORTRANGE(""https://docs.google.com/spreadsheets/d/1QqKyyYR6Q21VydFLVH3TRQUabQu_ym0Zz7PgGX0-kHA/edit?usp=sharing"",""แผน!HS15"")"),140)</f>
        <v>140</v>
      </c>
      <c r="J647" s="270">
        <f ca="1">IFERROR(__xludf.DUMMYFUNCTION("IMPORTRANGE(""https://docs.google.com/spreadsheets/d/1XWAQStnk-4SwqDmLtmXYiTMKHgktTP8We1SCoS47DrQ/edit?usp=sharing"",""จัดที่ดิน!AU15"")"),1)</f>
        <v>1</v>
      </c>
      <c r="K647" s="163">
        <f t="shared" ca="1" si="271"/>
        <v>0.7142857142857143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IFERROR(__xludf.DUMMYFUNCTION("IMPORTRANGE(""https://docs.google.com/spreadsheets/d/1XWAQStnk-4SwqDmLtmXYiTMKHgktTP8We1SCoS47DrQ/edit?usp=sharing"",""จัดที่ดิน!AV15"")"),0.26)</f>
        <v>0.26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IFERROR(__xludf.DUMMYFUNCTION("IMPORTRANGE(""https://docs.google.com/spreadsheets/d/1QqKyyYR6Q21VydFLVH3TRQUabQu_ym0Zz7PgGX0-kHA/edit?usp=sharing"",""แผน!HS15"")"),140)</f>
        <v>140</v>
      </c>
      <c r="J649" s="270">
        <f ca="1">IFERROR(__xludf.DUMMYFUNCTION("IMPORTRANGE(""https://docs.google.com/spreadsheets/d/1XWAQStnk-4SwqDmLtmXYiTMKHgktTP8We1SCoS47DrQ/edit?usp=sharing"",""จัดที่ดิน!AW15"")"),2)</f>
        <v>2</v>
      </c>
      <c r="K649" s="163">
        <f t="shared" ca="1" si="271"/>
        <v>1.4285714285714286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IFERROR(__xludf.DUMMYFUNCTION("IMPORTRANGE(""https://docs.google.com/spreadsheets/d/1XWAQStnk-4SwqDmLtmXYiTMKHgktTP8We1SCoS47DrQ/edit?usp=sharing"",""จัดที่ดิน!AX15"")"),1.5)</f>
        <v>1.5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IFERROR(__xludf.DUMMYFUNCTION("IMPORTRANGE(""https://docs.google.com/spreadsheets/d/1QqKyyYR6Q21VydFLVH3TRQUabQu_ym0Zz7PgGX0-kHA/edit?usp=sharing"",""แผน!HS15"")"),140)</f>
        <v>140</v>
      </c>
      <c r="J651" s="270">
        <f ca="1">IFERROR(__xludf.DUMMYFUNCTION("IMPORTRANGE(""https://docs.google.com/spreadsheets/d/1XWAQStnk-4SwqDmLtmXYiTMKHgktTP8We1SCoS47DrQ/edit?usp=sharing"",""จัดที่ดิน!AY15"")"),0)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IFERROR(__xludf.DUMMYFUNCTION("IMPORTRANGE(""https://docs.google.com/spreadsheets/d/1XWAQStnk-4SwqDmLtmXYiTMKHgktTP8We1SCoS47DrQ/edit?usp=sharing"",""จัดที่ดิน!AZ15"")"),0)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300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27600</v>
      </c>
      <c r="M655" s="195">
        <f t="shared" si="273"/>
        <v>0</v>
      </c>
      <c r="N655" s="195">
        <f t="shared" si="273"/>
        <v>4092</v>
      </c>
      <c r="O655" s="195">
        <f t="shared" ref="O655:O660" ca="1" si="274">IF(L655&gt;0,N655*100/L655,0)</f>
        <v>14.826086956521738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27600</v>
      </c>
      <c r="M657" s="93">
        <f t="shared" si="276"/>
        <v>0</v>
      </c>
      <c r="N657" s="93">
        <f t="shared" si="276"/>
        <v>4092</v>
      </c>
      <c r="O657" s="93">
        <f t="shared" ca="1" si="274"/>
        <v>14.826086956521738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27600</v>
      </c>
      <c r="M658" s="466">
        <f t="shared" si="277"/>
        <v>0</v>
      </c>
      <c r="N658" s="466">
        <f t="shared" si="277"/>
        <v>4092</v>
      </c>
      <c r="O658" s="466">
        <f t="shared" ca="1" si="274"/>
        <v>14.826086956521738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IFERROR(__xludf.DUMMYFUNCTION("IMPORTRANGE(""https://docs.google.com/spreadsheets/d/1QqKyyYR6Q21VydFLVH3TRQUabQu_ym0Zz7PgGX0-kHA/edit?usp=sharing"",""แผน!HV15"")"),27600)</f>
        <v>27600</v>
      </c>
      <c r="M660" s="93">
        <v>0</v>
      </c>
      <c r="N660" s="93">
        <f>N661+N662+N663+N664</f>
        <v>4092</v>
      </c>
      <c r="O660" s="93">
        <f t="shared" ca="1" si="274"/>
        <v>14.826086956521738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f>240+2700+1152</f>
        <v>4092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IFERROR(__xludf.DUMMYFUNCTION("IMPORTRANGE(""https://docs.google.com/spreadsheets/d/1QqKyyYR6Q21VydFLVH3TRQUabQu_ym0Zz7PgGX0-kHA/edit?usp=sharing"",""แผน!IA15"")"),300)</f>
        <v>300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IFERROR(__xludf.DUMMYFUNCTION("IMPORTRANGE(""https://docs.google.com/spreadsheets/d/1QqKyyYR6Q21VydFLVH3TRQUabQu_ym0Zz7PgGX0-kHA/edit?usp=sharing"",""แผน!HZ15"")"),6)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IFERROR(__xludf.DUMMYFUNCTION("IMPORTRANGE(""https://docs.google.com/spreadsheets/d/1QqKyyYR6Q21VydFLVH3TRQUabQu_ym0Zz7PgGX0-kHA/edit?usp=sharing"",""แผน!HZ15"")"),6)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IFERROR(__xludf.DUMMYFUNCTION("IMPORTRANGE(""https://docs.google.com/spreadsheets/d/1QqKyyYR6Q21VydFLVH3TRQUabQu_ym0Zz7PgGX0-kHA/edit?usp=sharing"",""แผน!IB15"")"),0)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.5" thickBot="1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20.25" hidden="1" thickBot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20.25" hidden="1" thickBot="1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.5" hidden="1" thickBot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9.5" hidden="1" thickBot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9.5" hidden="1" thickBot="1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.5" hidden="1" thickBot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9.5" hidden="1" thickBot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9.5" hidden="1" thickBot="1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.5" hidden="1" thickBot="1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.5" hidden="1" thickBot="1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.5" hidden="1" thickBot="1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.5" hidden="1" thickBot="1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.5" hidden="1" thickBot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9.5" hidden="1" thickBot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20.25" hidden="1" thickBot="1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.5" hidden="1" thickBot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IFERROR(__xludf.DUMMYFUNCTION("IMPORTRANGE(""https://docs.google.com/spreadsheets/d/1QqKyyYR6Q21VydFLVH3TRQUabQu_ym0Zz7PgGX0-kHA/edit?usp=sharing"",""แผน!IC15"")"),0)</f>
        <v>0</v>
      </c>
      <c r="J699" s="270">
        <f ca="1">IFERROR(__xludf.DUMMYFUNCTION("IMPORTRANGE(""https://docs.google.com/spreadsheets/d/1XWAQStnk-4SwqDmLtmXYiTMKHgktTP8We1SCoS47DrQ/edit?usp=sharing"",""จัดที่ดิน!BB15"")"),0)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.5" hidden="1" thickBot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IFERROR(__xludf.DUMMYFUNCTION("IMPORTRANGE(""https://docs.google.com/spreadsheets/d/1QqKyyYR6Q21VydFLVH3TRQUabQu_ym0Zz7PgGX0-kHA/edit?usp=sharing"",""แผน!ID15"")"),0)</f>
        <v>0</v>
      </c>
      <c r="J700" s="270">
        <f ca="1">IFERROR(__xludf.DUMMYFUNCTION("IMPORTRANGE(""https://docs.google.com/spreadsheets/d/1XWAQStnk-4SwqDmLtmXYiTMKHgktTP8We1SCoS47DrQ/edit?usp=sharing"",""จัดที่ดิน!BD15"")"),0)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20.25" hidden="1" thickBot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IFERROR(__xludf.DUMMYFUNCTION("IMPORTRANGE(""https://docs.google.com/spreadsheets/d/1QqKyyYR6Q21VydFLVH3TRQUabQu_ym0Zz7PgGX0-kHA/edit?usp=sharing"",""แผน!IE15"")"),0)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.5" hidden="1" thickBot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.5" hidden="1" thickBot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.5" hidden="1" thickBot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IFERROR(__xludf.DUMMYFUNCTION("IMPORTRANGE(""https://docs.google.com/spreadsheets/d/1QqKyyYR6Q21VydFLVH3TRQUabQu_ym0Zz7PgGX0-kHA/edit?usp=sharing"",""แผน!IF15"")"),0)</f>
        <v>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.5" hidden="1" thickBot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.5" hidden="1" thickBot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.5" hidden="1" thickBot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IFERROR(__xludf.DUMMYFUNCTION("IMPORTRANGE(""https://docs.google.com/spreadsheets/d/1QqKyyYR6Q21VydFLVH3TRQUabQu_ym0Zz7PgGX0-kHA/edit?usp=sharing"",""แผน!IG15"")"),0)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20.25" hidden="1" thickBot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IFERROR(__xludf.DUMMYFUNCTION("IMPORTRANGE(""https://docs.google.com/spreadsheets/d/1QqKyyYR6Q21VydFLVH3TRQUabQu_ym0Zz7PgGX0-kHA/edit?usp=sharing"",""แผน!IH15"")"),0)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.5" hidden="1" thickBot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.5" hidden="1" thickBot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.5" hidden="1" thickBot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.5" hidden="1" thickBot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.5" hidden="1" thickBot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.5" hidden="1" thickBot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.5" hidden="1" thickBot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.5" hidden="1" thickBot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.5" hidden="1" thickBot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.5" hidden="1" thickBot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IFERROR(__xludf.DUMMYFUNCTION("IMPORTRANGE(""https://docs.google.com/spreadsheets/d/1XWAQStnk-4SwqDmLtmXYiTMKHgktTP8We1SCoS47DrQ/edit?usp=sharing"",""จัดที่ดิน!BF15"")"),0)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.5" hidden="1" thickBot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IFERROR(__xludf.DUMMYFUNCTION("IMPORTRANGE(""https://docs.google.com/spreadsheets/d/1XWAQStnk-4SwqDmLtmXYiTMKHgktTP8We1SCoS47DrQ/edit?usp=sharing"",""จัดที่ดิน!BG15"")"),0)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.5" hidden="1" thickBot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IFERROR(__xludf.DUMMYFUNCTION("IMPORTRANGE(""https://docs.google.com/spreadsheets/d/1QqKyyYR6Q21VydFLVH3TRQUabQu_ym0Zz7PgGX0-kHA/edit?usp=sharing"",""แผน!II15"")"),0)</f>
        <v>0</v>
      </c>
      <c r="J720" s="270">
        <f ca="1">IFERROR(__xludf.DUMMYFUNCTION("IMPORTRANGE(""https://docs.google.com/spreadsheets/d/1XWAQStnk-4SwqDmLtmXYiTMKHgktTP8We1SCoS47DrQ/edit?usp=sharing"",""จัดที่ดิน!BH15"")"),0)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20.25" hidden="1" thickBot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IFERROR(__xludf.DUMMYFUNCTION("IMPORTRANGE(""https://docs.google.com/spreadsheets/d/1QqKyyYR6Q21VydFLVH3TRQUabQu_ym0Zz7PgGX0-kHA/edit?usp=sharing"",""แผน!IJ15"")"),0)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20.25" hidden="1" thickBot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IFERROR(__xludf.DUMMYFUNCTION("IMPORTRANGE(""https://docs.google.com/spreadsheets/d/1QqKyyYR6Q21VydFLVH3TRQUabQu_ym0Zz7PgGX0-kHA/edit?usp=sharing"",""แผน!IK15"")"),0)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.5" hidden="1" thickBot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IFERROR(__xludf.DUMMYFUNCTION("IMPORTRANGE(""https://docs.google.com/spreadsheets/d/1QqKyyYR6Q21VydFLVH3TRQUabQu_ym0Zz7PgGX0-kHA/edit?usp=sharing"",""แผน!IL15"")"),0)</f>
        <v>0</v>
      </c>
      <c r="J723" s="270">
        <f ca="1">IFERROR(__xludf.DUMMYFUNCTION("IMPORTRANGE(""https://docs.google.com/spreadsheets/d/1XWAQStnk-4SwqDmLtmXYiTMKHgktTP8We1SCoS47DrQ/edit?usp=sharing"",""จัดที่ดิน!BM15"")"),0)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.5" hidden="1" thickBot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IFERROR(__xludf.DUMMYFUNCTION("IMPORTRANGE(""https://docs.google.com/spreadsheets/d/1XWAQStnk-4SwqDmLtmXYiTMKHgktTP8We1SCoS47DrQ/edit?usp=sharing"",""จัดที่ดิน!BN15"")"),0)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.5" hidden="1" thickBot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IFERROR(__xludf.DUMMYFUNCTION("IMPORTRANGE(""https://docs.google.com/spreadsheets/d/1QqKyyYR6Q21VydFLVH3TRQUabQu_ym0Zz7PgGX0-kHA/edit?usp=sharing"",""แผน!IM15"")"),0)</f>
        <v>0</v>
      </c>
      <c r="J725" s="270">
        <f ca="1">IFERROR(__xludf.DUMMYFUNCTION("IMPORTRANGE(""https://docs.google.com/spreadsheets/d/1XWAQStnk-4SwqDmLtmXYiTMKHgktTP8We1SCoS47DrQ/edit?usp=sharing"",""จัดที่ดิน!BO15"")"),0)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.5" hidden="1" thickBot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IFERROR(__xludf.DUMMYFUNCTION("IMPORTRANGE(""https://docs.google.com/spreadsheets/d/1QqKyyYR6Q21VydFLVH3TRQUabQu_ym0Zz7PgGX0-kHA/edit?usp=sharing"",""แผน!IN15"")"),0)</f>
        <v>0</v>
      </c>
      <c r="J726" s="270">
        <f ca="1">IFERROR(__xludf.DUMMYFUNCTION("IMPORTRANGE(""https://docs.google.com/spreadsheets/d/1XWAQStnk-4SwqDmLtmXYiTMKHgktTP8We1SCoS47DrQ/edit?usp=sharing"",""จัดที่ดิน!BR15"")"),0)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.5" hidden="1" thickBot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IFERROR(__xludf.DUMMYFUNCTION("IMPORTRANGE(""https://docs.google.com/spreadsheets/d/1XWAQStnk-4SwqDmLtmXYiTMKHgktTP8We1SCoS47DrQ/edit?usp=sharing"",""จัดที่ดิน!BS15"")"),0)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.5" hidden="1" thickBot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IFERROR(__xludf.DUMMYFUNCTION("IMPORTRANGE(""https://docs.google.com/spreadsheets/d/1QqKyyYR6Q21VydFLVH3TRQUabQu_ym0Zz7PgGX0-kHA/edit?usp=sharing"",""แผน!IO15"")"),0)</f>
        <v>0</v>
      </c>
      <c r="J728" s="270">
        <f ca="1">IFERROR(__xludf.DUMMYFUNCTION("IMPORTRANGE(""https://docs.google.com/spreadsheets/d/1XWAQStnk-4SwqDmLtmXYiTMKHgktTP8We1SCoS47DrQ/edit?usp=sharing"",""จัดที่ดิน!BT15"")"),0)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20.25" hidden="1" thickBot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IFERROR(__xludf.DUMMYFUNCTION("IMPORTRANGE(""https://docs.google.com/spreadsheets/d/1QqKyyYR6Q21VydFLVH3TRQUabQu_ym0Zz7PgGX0-kHA/edit?usp=sharing"",""แผน!IP15"")"),0)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.5" hidden="1" thickBot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.5" hidden="1" thickBot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.5" hidden="1" thickBot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.5" hidden="1" thickBot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.5" hidden="1" thickBot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20.25" hidden="1" thickBot="1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20.25" hidden="1" thickBot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20.25" hidden="1" thickBot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9.5" hidden="1" thickBot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9.5" hidden="1" thickBot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20.25" hidden="1" thickBot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9.5" hidden="1" thickBot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9.5" hidden="1" thickBot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9.5" hidden="1" thickBot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9.5" hidden="1" thickBot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9.5" hidden="1" thickBot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9.5" hidden="1" thickBot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20.25" hidden="1" thickBot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9.5" hidden="1" thickBot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9.5" hidden="1" thickBot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20.25" hidden="1" thickBot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9.5" hidden="1" thickBot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9.5" hidden="1" thickBot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20.25" hidden="1" thickBot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20.25" hidden="1" thickBot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9.5" hidden="1" thickBot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9.5" hidden="1" thickBot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20.25" hidden="1" thickBot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9.5" hidden="1" thickBot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9.5" hidden="1" thickBot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9.5" hidden="1" thickBot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9.5" hidden="1" thickBot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9.5" hidden="1" thickBot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9.5" hidden="1" thickBot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20.25" hidden="1" thickBot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9.5" hidden="1" thickBot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9.5" hidden="1" thickBot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20.25" hidden="1" thickBot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9.5" hidden="1" thickBot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20.25" hidden="1" thickBot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20.25" hidden="1" thickBot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9.5" hidden="1" thickBot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9.5" hidden="1" thickBot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20.25" hidden="1" thickBot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9.5" hidden="1" thickBot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9.5" hidden="1" thickBot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9.5" hidden="1" thickBot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9.5" hidden="1" thickBot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9.5" hidden="1" thickBot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9.5" hidden="1" thickBot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20.25" hidden="1" thickBot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9.5" hidden="1" thickBot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9.5" hidden="1" thickBot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20.25" hidden="1" thickBot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9.5" hidden="1" thickBot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20.25" hidden="1" thickBot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84">
        <f ca="1">I800</f>
        <v>0</v>
      </c>
      <c r="J785" s="771">
        <f ca="1">J801</f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20.25" hidden="1" thickBot="1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563" t="s">
        <v>12</v>
      </c>
      <c r="I786" s="270"/>
      <c r="J786" s="270"/>
      <c r="K786" s="46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.5" hidden="1" thickBot="1">
      <c r="A787" s="564"/>
      <c r="B787" s="572"/>
      <c r="C787" s="723"/>
      <c r="D787" s="684"/>
      <c r="E787" s="723" t="s">
        <v>184</v>
      </c>
      <c r="F787" s="723"/>
      <c r="G787" s="568"/>
      <c r="H787" s="165" t="s">
        <v>12</v>
      </c>
      <c r="I787" s="584"/>
      <c r="J787" s="584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9.5" hidden="1" thickBot="1">
      <c r="A788" s="564"/>
      <c r="B788" s="572"/>
      <c r="C788" s="572"/>
      <c r="D788" s="581"/>
      <c r="E788" s="723" t="s">
        <v>185</v>
      </c>
      <c r="F788" s="723"/>
      <c r="G788" s="568"/>
      <c r="H788" s="165" t="s">
        <v>12</v>
      </c>
      <c r="I788" s="584"/>
      <c r="J788" s="584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9.5" hidden="1" thickBot="1">
      <c r="A789" s="562"/>
      <c r="B789" s="539"/>
      <c r="C789" s="539"/>
      <c r="D789" s="571" t="s">
        <v>20</v>
      </c>
      <c r="E789" s="727"/>
      <c r="F789" s="727"/>
      <c r="G789" s="189"/>
      <c r="H789" s="776" t="s">
        <v>12</v>
      </c>
      <c r="I789" s="184"/>
      <c r="J789" s="184"/>
      <c r="K789" s="163"/>
      <c r="L789" s="466">
        <f t="shared" ref="L789:N789" ca="1" si="322">L790+L791</f>
        <v>0</v>
      </c>
      <c r="M789" s="466">
        <f t="shared" si="322"/>
        <v>0</v>
      </c>
      <c r="N789" s="466">
        <f t="shared" si="322"/>
        <v>0</v>
      </c>
      <c r="O789" s="466">
        <f t="shared" ca="1" si="319"/>
        <v>0</v>
      </c>
      <c r="P789" s="466">
        <f t="shared" si="320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.5" hidden="1" thickBot="1">
      <c r="A790" s="564"/>
      <c r="B790" s="572"/>
      <c r="C790" s="572"/>
      <c r="D790" s="581"/>
      <c r="E790" s="723" t="s">
        <v>184</v>
      </c>
      <c r="F790" s="723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9.5" hidden="1" thickBot="1">
      <c r="A791" s="564"/>
      <c r="B791" s="572"/>
      <c r="C791" s="572"/>
      <c r="D791" s="581"/>
      <c r="E791" s="723" t="s">
        <v>185</v>
      </c>
      <c r="F791" s="723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IFERROR(__xludf.DUMMYFUNCTION("IMPORTRANGE(""https://docs.google.com/spreadsheets/d/1QqKyyYR6Q21VydFLVH3TRQUabQu_ym0Zz7PgGX0-kHA/edit?usp=sharing"",""แผน!JJ15"")"),0)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9.5" hidden="1" thickBot="1">
      <c r="A792" s="538"/>
      <c r="B792" s="539"/>
      <c r="C792" s="727"/>
      <c r="D792" s="727"/>
      <c r="E792" s="727"/>
      <c r="F792" s="727" t="s">
        <v>186</v>
      </c>
      <c r="G792" s="189"/>
      <c r="H792" s="776" t="s">
        <v>12</v>
      </c>
      <c r="I792" s="270"/>
      <c r="J792" s="270"/>
      <c r="K792" s="466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.5" hidden="1" thickBot="1">
      <c r="A793" s="538"/>
      <c r="B793" s="539"/>
      <c r="C793" s="727"/>
      <c r="D793" s="727"/>
      <c r="E793" s="727"/>
      <c r="F793" s="727" t="s">
        <v>187</v>
      </c>
      <c r="G793" s="189"/>
      <c r="H793" s="776" t="s">
        <v>12</v>
      </c>
      <c r="I793" s="270"/>
      <c r="J793" s="270"/>
      <c r="K793" s="466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.5" hidden="1" thickBot="1">
      <c r="A794" s="538"/>
      <c r="B794" s="539"/>
      <c r="C794" s="727"/>
      <c r="D794" s="727"/>
      <c r="E794" s="727"/>
      <c r="F794" s="727" t="s">
        <v>188</v>
      </c>
      <c r="G794" s="189"/>
      <c r="H794" s="776" t="s">
        <v>12</v>
      </c>
      <c r="I794" s="270"/>
      <c r="J794" s="270"/>
      <c r="K794" s="466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.5" hidden="1" thickBot="1">
      <c r="A795" s="538"/>
      <c r="B795" s="539"/>
      <c r="C795" s="727"/>
      <c r="D795" s="727"/>
      <c r="E795" s="727"/>
      <c r="F795" s="727" t="s">
        <v>189</v>
      </c>
      <c r="G795" s="189"/>
      <c r="H795" s="776" t="s">
        <v>12</v>
      </c>
      <c r="I795" s="270"/>
      <c r="J795" s="270"/>
      <c r="K795" s="466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.5" hidden="1" thickBot="1">
      <c r="A796" s="562"/>
      <c r="B796" s="539"/>
      <c r="C796" s="727"/>
      <c r="D796" s="571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6">
        <f t="shared" ref="L796:N796" si="323">L797+L798</f>
        <v>0</v>
      </c>
      <c r="M796" s="466">
        <f t="shared" si="323"/>
        <v>0</v>
      </c>
      <c r="N796" s="466">
        <f t="shared" si="323"/>
        <v>0</v>
      </c>
      <c r="O796" s="466">
        <f t="shared" ref="O796:O798" si="324">IF(L796&gt;0,N796*100/L796,0)</f>
        <v>0</v>
      </c>
      <c r="P796" s="466">
        <f t="shared" ref="P796:P798" si="325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.5" hidden="1" thickBot="1">
      <c r="A797" s="564"/>
      <c r="B797" s="572"/>
      <c r="C797" s="723"/>
      <c r="D797" s="723"/>
      <c r="E797" s="723" t="s">
        <v>18</v>
      </c>
      <c r="F797" s="723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9.5" hidden="1" thickBot="1">
      <c r="A798" s="564"/>
      <c r="B798" s="572"/>
      <c r="C798" s="723"/>
      <c r="D798" s="723"/>
      <c r="E798" s="723" t="s">
        <v>19</v>
      </c>
      <c r="F798" s="723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20.25" hidden="1" thickBot="1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774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.5" hidden="1" thickBot="1">
      <c r="A800" s="573"/>
      <c r="B800" s="585"/>
      <c r="C800" s="585"/>
      <c r="D800" s="585"/>
      <c r="E800" s="593"/>
      <c r="F800" s="593" t="s">
        <v>320</v>
      </c>
      <c r="G800" s="726"/>
      <c r="H800" s="775" t="s">
        <v>34</v>
      </c>
      <c r="I800" s="184">
        <f ca="1">IFERROR(__xludf.DUMMYFUNCTION("IMPORTRANGE(""https://docs.google.com/spreadsheets/d/1QqKyyYR6Q21VydFLVH3TRQUabQu_ym0Zz7PgGX0-kHA/edit?usp=sharing"",""แผน!JN15"")"),0)</f>
        <v>0</v>
      </c>
      <c r="J800" s="184">
        <f ca="1">IFERROR(__xludf.DUMMYFUNCTION("IMPORTRANGE(""https://docs.google.com/spreadsheets/d/1MaWodYyGHDf7siQLGxnXhG4mBNTNIuy296niS2xXulU/edit?usp=sharing"",""RTK!H15"")"),0)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.5" hidden="1" thickBot="1">
      <c r="A801" s="573"/>
      <c r="B801" s="585"/>
      <c r="C801" s="585"/>
      <c r="D801" s="585"/>
      <c r="E801" s="593"/>
      <c r="F801" s="593"/>
      <c r="G801" s="726"/>
      <c r="H801" s="776" t="s">
        <v>46</v>
      </c>
      <c r="I801" s="184"/>
      <c r="J801" s="270">
        <f ca="1">IFERROR(__xludf.DUMMYFUNCTION("IMPORTRANGE(""https://docs.google.com/spreadsheets/d/1MaWodYyGHDf7siQLGxnXhG4mBNTNIuy296niS2xXulU/edit?usp=sharing"",""RTK!I15"")"),0)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.5" hidden="1" thickBot="1">
      <c r="A802" s="579"/>
      <c r="B802" s="581"/>
      <c r="C802" s="581"/>
      <c r="D802" s="581"/>
      <c r="E802" s="684"/>
      <c r="F802" s="684" t="s">
        <v>321</v>
      </c>
      <c r="G802" s="582"/>
      <c r="H802" s="619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9.5" hidden="1" thickBot="1">
      <c r="A803" s="579"/>
      <c r="B803" s="581"/>
      <c r="C803" s="581"/>
      <c r="D803" s="581"/>
      <c r="E803" s="684"/>
      <c r="F803" s="684"/>
      <c r="G803" s="582"/>
      <c r="H803" s="619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20.25" hidden="1" thickBot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20.25" hidden="1" thickBot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9.5" hidden="1" thickBot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9.5" hidden="1" thickBot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20.25" hidden="1" thickBot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9.5" hidden="1" thickBot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9.5" hidden="1" thickBot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9.5" hidden="1" thickBot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9.5" hidden="1" thickBot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9.5" hidden="1" thickBot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9.5" hidden="1" thickBot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20.25" hidden="1" thickBot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9.5" hidden="1" thickBot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9.5" hidden="1" thickBot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20.25" hidden="1" thickBot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85" t="s">
        <v>332</v>
      </c>
      <c r="B820" s="886"/>
      <c r="C820" s="886"/>
      <c r="D820" s="887"/>
      <c r="E820" s="886"/>
      <c r="F820" s="886"/>
      <c r="G820" s="888"/>
      <c r="H820" s="889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90"/>
      <c r="J820" s="890"/>
      <c r="K820" s="891"/>
      <c r="L820" s="891"/>
      <c r="M820" s="891"/>
      <c r="N820" s="891"/>
      <c r="O820" s="891"/>
      <c r="P820" s="89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270">
        <f ca="1">IFERROR(__xludf.DUMMYFUNCTION("IMPORTRANGE(""https://docs.google.com/spreadsheets/d/19vJNZY_5yjcGF2XGBMNZRCAIB0Kwfpjp8YEOfu-bneM/edit?usp=sharing"",""งานกองทุน!F15"")"),316223.68)</f>
        <v>316223.68</v>
      </c>
      <c r="K821" s="466">
        <f t="shared" ref="K821:K828" ca="1" si="334">IF(I821&gt;0,J821*100/I821,0)</f>
        <v>6.1435531954982405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IFERROR(__xludf.DUMMYFUNCTION("IMPORTRANGE(""https://docs.google.com/spreadsheets/d/19vJNZY_5yjcGF2XGBMNZRCAIB0Kwfpjp8YEOfu-bneM/edit?usp=sharing"",""งานกองทุน!C15"")"),193)</f>
        <v>193</v>
      </c>
      <c r="J822" s="270">
        <f ca="1">IFERROR(__xludf.DUMMYFUNCTION("IMPORTRANGE(""https://docs.google.com/spreadsheets/d/19vJNZY_5yjcGF2XGBMNZRCAIB0Kwfpjp8YEOfu-bneM/edit?usp=sharing"",""งานกองทุน!E15"")"),15)</f>
        <v>15</v>
      </c>
      <c r="K822" s="466">
        <f t="shared" ca="1" si="334"/>
        <v>7.7720207253886011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270">
        <f ca="1">IFERROR(__xludf.DUMMYFUNCTION("IMPORTRANGE(""https://docs.google.com/spreadsheets/d/19vJNZY_5yjcGF2XGBMNZRCAIB0Kwfpjp8YEOfu-bneM/edit?usp=sharing"",""งานกองทุน!K15"")"),175629.83)</f>
        <v>175629.83</v>
      </c>
      <c r="K823" s="466">
        <f t="shared" ca="1" si="334"/>
        <v>2.9485308486355613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IFERROR(__xludf.DUMMYFUNCTION("IMPORTRANGE(""https://docs.google.com/spreadsheets/d/19vJNZY_5yjcGF2XGBMNZRCAIB0Kwfpjp8YEOfu-bneM/edit?usp=sharing"",""งานกองทุน!H15"")"),150)</f>
        <v>150</v>
      </c>
      <c r="J824" s="270">
        <f ca="1">IFERROR(__xludf.DUMMYFUNCTION("IMPORTRANGE(""https://docs.google.com/spreadsheets/d/19vJNZY_5yjcGF2XGBMNZRCAIB0Kwfpjp8YEOfu-bneM/edit?usp=sharing"",""งานกองทุน!J15"")"),49)</f>
        <v>49</v>
      </c>
      <c r="K824" s="466">
        <f t="shared" ca="1" si="334"/>
        <v>32.666666666666664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270">
        <f ca="1">IFERROR(__xludf.DUMMYFUNCTION("IMPORTRANGE(""https://docs.google.com/spreadsheets/d/19vJNZY_5yjcGF2XGBMNZRCAIB0Kwfpjp8YEOfu-bneM/edit?usp=sharing"",""งานกองทุน!P15"")"),249000)</f>
        <v>249000</v>
      </c>
      <c r="K825" s="466">
        <f t="shared" ca="1" si="334"/>
        <v>20.655787575814205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IFERROR(__xludf.DUMMYFUNCTION("IMPORTRANGE(""https://docs.google.com/spreadsheets/d/19vJNZY_5yjcGF2XGBMNZRCAIB0Kwfpjp8YEOfu-bneM/edit?usp=sharing"",""งานกองทุน!M15"")"),49)</f>
        <v>49</v>
      </c>
      <c r="J826" s="270">
        <f ca="1">IFERROR(__xludf.DUMMYFUNCTION("IMPORTRANGE(""https://docs.google.com/spreadsheets/d/19vJNZY_5yjcGF2XGBMNZRCAIB0Kwfpjp8YEOfu-bneM/edit?usp=sharing"",""งานกองทุน!O15"")"),2)</f>
        <v>2</v>
      </c>
      <c r="K826" s="466">
        <f t="shared" ca="1" si="334"/>
        <v>4.0816326530612246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IFERROR(__xludf.DUMMYFUNCTION("IMPORTRANGE(""https://docs.google.com/spreadsheets/d/19vJNZY_5yjcGF2XGBMNZRCAIB0Kwfpjp8YEOfu-bneM/edit?usp=sharing"",""งานกองทุน!S15"")"),5880000)</f>
        <v>5880000</v>
      </c>
      <c r="J827" s="270">
        <f ca="1">IFERROR(__xludf.DUMMYFUNCTION("IMPORTRANGE(""https://docs.google.com/spreadsheets/d/19vJNZY_5yjcGF2XGBMNZRCAIB0Kwfpjp8YEOfu-bneM/edit?usp=sharing"",""งานกองทุน!U15"")"),0)</f>
        <v>0</v>
      </c>
      <c r="K827" s="466">
        <f t="shared" ca="1" si="334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IFERROR(__xludf.DUMMYFUNCTION("IMPORTRANGE(""https://docs.google.com/spreadsheets/d/19vJNZY_5yjcGF2XGBMNZRCAIB0Kwfpjp8YEOfu-bneM/edit?usp=sharing"",""งานกองทุน!R15"")"),235)</f>
        <v>235</v>
      </c>
      <c r="J828" s="469">
        <f ca="1">IFERROR(__xludf.DUMMYFUNCTION("IMPORTRANGE(""https://docs.google.com/spreadsheets/d/19vJNZY_5yjcGF2XGBMNZRCAIB0Kwfpjp8YEOfu-bneM/edit?usp=sharing"",""งานกองทุน!T15"")"),0)</f>
        <v>0</v>
      </c>
      <c r="K828" s="470">
        <f t="shared" ca="1" si="334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4B93F-DB0B-406E-8A33-97F7B4C61F66}">
  <sheetPr>
    <outlinePr summaryBelow="0" summaryRight="0"/>
    <pageSetUpPr fitToPage="1"/>
  </sheetPr>
  <dimension ref="A1:P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6.85546875" style="801" bestFit="1" customWidth="1"/>
    <col min="10" max="10" width="14.4257812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1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16" ht="19.5">
      <c r="A2" s="817" t="s">
        <v>334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1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1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1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1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6384215</v>
      </c>
      <c r="M8" s="22">
        <f t="shared" ca="1" si="0"/>
        <v>2184215</v>
      </c>
      <c r="N8" s="22">
        <f t="shared" ca="1" si="0"/>
        <v>1899697.85</v>
      </c>
      <c r="O8" s="22">
        <f t="shared" ref="O8:O16" ca="1" si="1">IF(L8&gt;0,N8*100/L8,0)</f>
        <v>29.756169709196822</v>
      </c>
      <c r="P8" s="22">
        <f t="shared" ref="P8:P16" ca="1" si="2">IF(M8&gt;0,N8*100/M8,0)</f>
        <v>86.973940294339158</v>
      </c>
    </row>
    <row r="9" spans="1:1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</row>
    <row r="10" spans="1:1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6384215</v>
      </c>
      <c r="M10" s="30">
        <f t="shared" ca="1" si="3"/>
        <v>2184215</v>
      </c>
      <c r="N10" s="30">
        <f t="shared" ca="1" si="3"/>
        <v>1899697.85</v>
      </c>
      <c r="O10" s="30">
        <f t="shared" ca="1" si="1"/>
        <v>29.756169709196822</v>
      </c>
      <c r="P10" s="30">
        <f t="shared" ca="1" si="2"/>
        <v>86.973940294339158</v>
      </c>
    </row>
    <row r="11" spans="1:1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6108415</v>
      </c>
      <c r="M11" s="466">
        <f t="shared" ca="1" si="4"/>
        <v>1908415</v>
      </c>
      <c r="N11" s="466">
        <f t="shared" ca="1" si="4"/>
        <v>1623897.85</v>
      </c>
      <c r="O11" s="466">
        <f t="shared" ca="1" si="1"/>
        <v>26.584602552380609</v>
      </c>
      <c r="P11" s="466">
        <f t="shared" ca="1" si="2"/>
        <v>85.091442374955136</v>
      </c>
    </row>
    <row r="12" spans="1:1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</row>
    <row r="13" spans="1:1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6108415</v>
      </c>
      <c r="M13" s="93">
        <f t="shared" ca="1" si="5"/>
        <v>1908415</v>
      </c>
      <c r="N13" s="93">
        <f t="shared" ca="1" si="5"/>
        <v>1623897.85</v>
      </c>
      <c r="O13" s="93">
        <f t="shared" ca="1" si="1"/>
        <v>26.584602552380609</v>
      </c>
      <c r="P13" s="93">
        <f t="shared" ca="1" si="2"/>
        <v>85.091442374955136</v>
      </c>
    </row>
    <row r="14" spans="1:1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275800</v>
      </c>
      <c r="M14" s="466">
        <f t="shared" ca="1" si="6"/>
        <v>275800</v>
      </c>
      <c r="N14" s="466">
        <f t="shared" ca="1" si="6"/>
        <v>275800</v>
      </c>
      <c r="O14" s="466">
        <f t="shared" ca="1" si="1"/>
        <v>100</v>
      </c>
      <c r="P14" s="466">
        <f t="shared" ca="1" si="2"/>
        <v>100</v>
      </c>
    </row>
    <row r="15" spans="1:1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</row>
    <row r="16" spans="1:1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275800</v>
      </c>
      <c r="M16" s="52">
        <f t="shared" ca="1" si="7"/>
        <v>275800</v>
      </c>
      <c r="N16" s="52">
        <f t="shared" ca="1" si="7"/>
        <v>275800</v>
      </c>
      <c r="O16" s="52">
        <f t="shared" ca="1" si="1"/>
        <v>100</v>
      </c>
      <c r="P16" s="52">
        <f t="shared" ca="1" si="2"/>
        <v>100</v>
      </c>
    </row>
    <row r="17" spans="1:1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1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4070285</v>
      </c>
      <c r="M18" s="22">
        <f t="shared" ca="1" si="8"/>
        <v>2184215</v>
      </c>
      <c r="N18" s="22">
        <f t="shared" ca="1" si="8"/>
        <v>1563377.22</v>
      </c>
      <c r="O18" s="22">
        <f t="shared" ref="O18:O26" ca="1" si="9">IF(L18&gt;0,N18*100/L18,0)</f>
        <v>38.409527096996896</v>
      </c>
      <c r="P18" s="22">
        <f t="shared" ref="P18:P26" ca="1" si="10">IF(M18&gt;0,N18*100/M18,0)</f>
        <v>71.576159856058126</v>
      </c>
    </row>
    <row r="19" spans="1:1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</row>
    <row r="20" spans="1:1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4070285</v>
      </c>
      <c r="M20" s="30">
        <f t="shared" ca="1" si="11"/>
        <v>2184215</v>
      </c>
      <c r="N20" s="30">
        <f t="shared" ca="1" si="11"/>
        <v>1563377.22</v>
      </c>
      <c r="O20" s="30">
        <f t="shared" ca="1" si="9"/>
        <v>38.409527096996896</v>
      </c>
      <c r="P20" s="30">
        <f t="shared" ca="1" si="10"/>
        <v>71.576159856058126</v>
      </c>
    </row>
    <row r="21" spans="1:1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3794485</v>
      </c>
      <c r="M21" s="466">
        <f t="shared" ca="1" si="12"/>
        <v>1908415</v>
      </c>
      <c r="N21" s="466">
        <f t="shared" ca="1" si="12"/>
        <v>1287577.22</v>
      </c>
      <c r="O21" s="466">
        <f t="shared" ca="1" si="9"/>
        <v>33.932858345730715</v>
      </c>
      <c r="P21" s="466">
        <f t="shared" ca="1" si="10"/>
        <v>67.468408076859589</v>
      </c>
    </row>
    <row r="22" spans="1:1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</row>
    <row r="23" spans="1:1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3794485</v>
      </c>
      <c r="M23" s="93">
        <f t="shared" ca="1" si="13"/>
        <v>1908415</v>
      </c>
      <c r="N23" s="93">
        <f t="shared" ca="1" si="13"/>
        <v>1287577.22</v>
      </c>
      <c r="O23" s="93">
        <f t="shared" ca="1" si="9"/>
        <v>33.932858345730715</v>
      </c>
      <c r="P23" s="93">
        <f t="shared" ca="1" si="10"/>
        <v>67.468408076859589</v>
      </c>
    </row>
    <row r="24" spans="1:1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275800</v>
      </c>
      <c r="M24" s="466">
        <f t="shared" ca="1" si="14"/>
        <v>275800</v>
      </c>
      <c r="N24" s="466">
        <f t="shared" ca="1" si="14"/>
        <v>275800</v>
      </c>
      <c r="O24" s="466">
        <f t="shared" ca="1" si="9"/>
        <v>100</v>
      </c>
      <c r="P24" s="466">
        <f t="shared" ca="1" si="10"/>
        <v>100</v>
      </c>
    </row>
    <row r="25" spans="1:1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</row>
    <row r="26" spans="1:1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275800</v>
      </c>
      <c r="M26" s="52">
        <f t="shared" ca="1" si="15"/>
        <v>275800</v>
      </c>
      <c r="N26" s="52">
        <f t="shared" ca="1" si="15"/>
        <v>275800</v>
      </c>
      <c r="O26" s="52">
        <f t="shared" ca="1" si="9"/>
        <v>100</v>
      </c>
      <c r="P26" s="52">
        <f t="shared" ca="1" si="10"/>
        <v>100</v>
      </c>
    </row>
    <row r="27" spans="1:1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1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2313930</v>
      </c>
      <c r="M28" s="22">
        <f t="shared" si="16"/>
        <v>0</v>
      </c>
      <c r="N28" s="22">
        <f t="shared" si="16"/>
        <v>336320.63</v>
      </c>
      <c r="O28" s="22">
        <f t="shared" ref="O28:O37" ca="1" si="17">IF(L28&gt;0,N28*100/L28,0)</f>
        <v>14.534606924150687</v>
      </c>
      <c r="P28" s="22">
        <f t="shared" ref="P28:P37" si="18">IF(M28&gt;0,N28*100/M28,0)</f>
        <v>0</v>
      </c>
    </row>
    <row r="29" spans="1:1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</row>
    <row r="30" spans="1:1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2313930</v>
      </c>
      <c r="M30" s="30">
        <f t="shared" si="19"/>
        <v>0</v>
      </c>
      <c r="N30" s="30">
        <f t="shared" si="19"/>
        <v>336320.63</v>
      </c>
      <c r="O30" s="30">
        <f t="shared" ca="1" si="17"/>
        <v>14.534606924150687</v>
      </c>
      <c r="P30" s="30">
        <f t="shared" si="18"/>
        <v>0</v>
      </c>
    </row>
    <row r="31" spans="1:1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2313930</v>
      </c>
      <c r="M31" s="466">
        <f t="shared" si="20"/>
        <v>0</v>
      </c>
      <c r="N31" s="466">
        <f t="shared" si="20"/>
        <v>336320.63</v>
      </c>
      <c r="O31" s="466">
        <f t="shared" ca="1" si="17"/>
        <v>14.534606924150687</v>
      </c>
      <c r="P31" s="466">
        <f t="shared" si="18"/>
        <v>0</v>
      </c>
    </row>
    <row r="32" spans="1:1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</row>
    <row r="33" spans="1:1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2313930</v>
      </c>
      <c r="M33" s="93">
        <f t="shared" si="21"/>
        <v>0</v>
      </c>
      <c r="N33" s="93">
        <f t="shared" si="21"/>
        <v>336320.63</v>
      </c>
      <c r="O33" s="93">
        <f t="shared" ca="1" si="17"/>
        <v>14.534606924150687</v>
      </c>
      <c r="P33" s="93">
        <f t="shared" si="18"/>
        <v>0</v>
      </c>
    </row>
    <row r="34" spans="1:1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</row>
    <row r="35" spans="1:1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</row>
    <row r="36" spans="1:1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</row>
    <row r="37" spans="1:1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4070285</v>
      </c>
      <c r="M37" s="832">
        <f t="shared" ca="1" si="24"/>
        <v>2184215</v>
      </c>
      <c r="N37" s="832">
        <f t="shared" ca="1" si="24"/>
        <v>1563377.22</v>
      </c>
      <c r="O37" s="832">
        <f t="shared" ca="1" si="17"/>
        <v>38.409527096996896</v>
      </c>
      <c r="P37" s="832">
        <f t="shared" ca="1" si="18"/>
        <v>71.576159856058126</v>
      </c>
    </row>
    <row r="38" spans="1:1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1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1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1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849550</v>
      </c>
      <c r="M41" s="85">
        <f t="shared" ca="1" si="25"/>
        <v>427700</v>
      </c>
      <c r="N41" s="85">
        <f t="shared" ca="1" si="25"/>
        <v>285128</v>
      </c>
      <c r="O41" s="85">
        <f t="shared" ref="O41:O49" ca="1" si="26">IF(L41&gt;0,N41*100/L41,0)</f>
        <v>33.562238832322997</v>
      </c>
      <c r="P41" s="85">
        <f t="shared" ref="P41:P49" ca="1" si="27">IF(M41&gt;0,N41*100/M41,0)</f>
        <v>66.665419686696282</v>
      </c>
    </row>
    <row r="42" spans="1:1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</row>
    <row r="43" spans="1:1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849550</v>
      </c>
      <c r="M43" s="92">
        <f t="shared" ca="1" si="28"/>
        <v>427700</v>
      </c>
      <c r="N43" s="92">
        <f t="shared" ca="1" si="28"/>
        <v>285128</v>
      </c>
      <c r="O43" s="92">
        <f t="shared" ca="1" si="26"/>
        <v>33.562238832322997</v>
      </c>
      <c r="P43" s="92">
        <f t="shared" ca="1" si="27"/>
        <v>66.665419686696282</v>
      </c>
    </row>
    <row r="44" spans="1:1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849550</v>
      </c>
      <c r="M44" s="466">
        <f t="shared" ca="1" si="29"/>
        <v>427700</v>
      </c>
      <c r="N44" s="466">
        <f t="shared" ca="1" si="29"/>
        <v>285128</v>
      </c>
      <c r="O44" s="466">
        <f t="shared" ca="1" si="26"/>
        <v>33.562238832322997</v>
      </c>
      <c r="P44" s="466">
        <f t="shared" ca="1" si="27"/>
        <v>66.665419686696282</v>
      </c>
    </row>
    <row r="45" spans="1:1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</row>
    <row r="46" spans="1:1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IFERROR(__xludf.DUMMYFUNCTION("IMPORTRANGE(""https://docs.google.com/spreadsheets/d/1MeEWN-I1oV_STSDYn1IFDPWt_1FKiwhDph83XaGc0o0/edit?usp=sharing"",""งบพรบ!M16"")"),849550)</f>
        <v>849550</v>
      </c>
      <c r="M46" s="93">
        <f ca="1">IFERROR(__xludf.DUMMYFUNCTION("IMPORTRANGE(""https://docs.google.com/spreadsheets/d/1MeEWN-I1oV_STSDYn1IFDPWt_1FKiwhDph83XaGc0o0/edit?usp=sharing"",""งบพรบ!R16"")"),427700)</f>
        <v>427700</v>
      </c>
      <c r="N46" s="93">
        <f ca="1">IFERROR(__xludf.DUMMYFUNCTION("IMPORTRANGE(""https://docs.google.com/spreadsheets/d/1MeEWN-I1oV_STSDYn1IFDPWt_1FKiwhDph83XaGc0o0/edit?usp=sharing"",""งบพรบ!T16"")"),285128)</f>
        <v>285128</v>
      </c>
      <c r="O46" s="93">
        <f t="shared" ca="1" si="26"/>
        <v>33.562238832322997</v>
      </c>
      <c r="P46" s="93">
        <f t="shared" ca="1" si="27"/>
        <v>66.665419686696282</v>
      </c>
    </row>
    <row r="47" spans="1:1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</row>
    <row r="48" spans="1:1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</row>
    <row r="49" spans="1:1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IFERROR(__xludf.DUMMYFUNCTION("IMPORTRANGE(""https://docs.google.com/spreadsheets/d/1MeEWN-I1oV_STSDYn1IFDPWt_1FKiwhDph83XaGc0o0/edit?usp=sharing"",""งบพรบ!P16"")"),0)</f>
        <v>0</v>
      </c>
      <c r="M49" s="52">
        <f ca="1">IFERROR(__xludf.DUMMYFUNCTION("IMPORTRANGE(""https://docs.google.com/spreadsheets/d/1MeEWN-I1oV_STSDYn1IFDPWt_1FKiwhDph83XaGc0o0/edit?usp=sharing"",""งบพรบ!S16"")"),0)</f>
        <v>0</v>
      </c>
      <c r="N49" s="52">
        <f ca="1">IFERROR(__xludf.DUMMYFUNCTION("IMPORTRANGE(""https://docs.google.com/spreadsheets/d/1MeEWN-I1oV_STSDYn1IFDPWt_1FKiwhDph83XaGc0o0/edit?usp=sharing"",""งบพรบ!U16"")"),0)</f>
        <v>0</v>
      </c>
      <c r="O49" s="52">
        <f t="shared" ca="1" si="26"/>
        <v>0</v>
      </c>
      <c r="P49" s="52">
        <f t="shared" ca="1" si="27"/>
        <v>0</v>
      </c>
    </row>
    <row r="50" spans="1:1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1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1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1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903400</v>
      </c>
      <c r="M53" s="116">
        <f t="shared" ca="1" si="31"/>
        <v>547700</v>
      </c>
      <c r="N53" s="116">
        <f t="shared" ca="1" si="31"/>
        <v>519585.08</v>
      </c>
      <c r="O53" s="116">
        <f t="shared" ref="O53:O61" ca="1" si="32">IF(L53&gt;0,N53*100/L53,0)</f>
        <v>57.514398937347799</v>
      </c>
      <c r="P53" s="116">
        <f t="shared" ref="P53:P61" ca="1" si="33">IF(M53&gt;0,N53*100/M53,0)</f>
        <v>94.866729961657839</v>
      </c>
    </row>
    <row r="54" spans="1:1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</row>
    <row r="55" spans="1:1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903400</v>
      </c>
      <c r="M55" s="123">
        <f t="shared" ca="1" si="34"/>
        <v>547700</v>
      </c>
      <c r="N55" s="123">
        <f t="shared" ca="1" si="34"/>
        <v>519585.08</v>
      </c>
      <c r="O55" s="123">
        <f t="shared" ca="1" si="32"/>
        <v>57.514398937347799</v>
      </c>
      <c r="P55" s="123">
        <f t="shared" ca="1" si="33"/>
        <v>94.866729961657839</v>
      </c>
    </row>
    <row r="56" spans="1:1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711400</v>
      </c>
      <c r="M56" s="466">
        <f t="shared" ca="1" si="35"/>
        <v>355700</v>
      </c>
      <c r="N56" s="466">
        <f t="shared" ca="1" si="35"/>
        <v>327585.08</v>
      </c>
      <c r="O56" s="466">
        <f t="shared" ca="1" si="32"/>
        <v>46.047944897385435</v>
      </c>
      <c r="P56" s="466">
        <f t="shared" ca="1" si="33"/>
        <v>92.095889794770869</v>
      </c>
    </row>
    <row r="57" spans="1:1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</row>
    <row r="58" spans="1:1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IFERROR(__xludf.DUMMYFUNCTION("IMPORTRANGE(""https://docs.google.com/spreadsheets/d/1MeEWN-I1oV_STSDYn1IFDPWt_1FKiwhDph83XaGc0o0/edit?usp=sharing"",""งบพรบ!W16"")"),711400)</f>
        <v>711400</v>
      </c>
      <c r="M58" s="93">
        <f ca="1">IFERROR(__xludf.DUMMYFUNCTION("IMPORTRANGE(""https://docs.google.com/spreadsheets/d/1MeEWN-I1oV_STSDYn1IFDPWt_1FKiwhDph83XaGc0o0/edit?usp=sharing"",""งบพรบ!AB16"")"),355700)</f>
        <v>355700</v>
      </c>
      <c r="N58" s="93">
        <f ca="1">IFERROR(__xludf.DUMMYFUNCTION("IMPORTRANGE(""https://docs.google.com/spreadsheets/d/1MeEWN-I1oV_STSDYn1IFDPWt_1FKiwhDph83XaGc0o0/edit?usp=sharing"",""งบพรบ!AD16"")"),327585.08)</f>
        <v>327585.08</v>
      </c>
      <c r="O58" s="93">
        <f t="shared" ca="1" si="32"/>
        <v>46.047944897385435</v>
      </c>
      <c r="P58" s="93">
        <f t="shared" ca="1" si="33"/>
        <v>92.095889794770869</v>
      </c>
    </row>
    <row r="59" spans="1:1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192000</v>
      </c>
      <c r="M59" s="466">
        <f t="shared" ca="1" si="36"/>
        <v>192000</v>
      </c>
      <c r="N59" s="466">
        <f t="shared" ca="1" si="36"/>
        <v>192000</v>
      </c>
      <c r="O59" s="466">
        <f t="shared" ca="1" si="32"/>
        <v>100</v>
      </c>
      <c r="P59" s="466">
        <f t="shared" ca="1" si="33"/>
        <v>100</v>
      </c>
    </row>
    <row r="60" spans="1:1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</row>
    <row r="61" spans="1:1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IFERROR(__xludf.DUMMYFUNCTION("IMPORTRANGE(""https://docs.google.com/spreadsheets/d/1MeEWN-I1oV_STSDYn1IFDPWt_1FKiwhDph83XaGc0o0/edit?usp=sharing"",""งบพรบ!Z16"")"),192000)</f>
        <v>192000</v>
      </c>
      <c r="M61" s="52">
        <f ca="1">IFERROR(__xludf.DUMMYFUNCTION("IMPORTRANGE(""https://docs.google.com/spreadsheets/d/1MeEWN-I1oV_STSDYn1IFDPWt_1FKiwhDph83XaGc0o0/edit?usp=sharing"",""งบพรบ!AC16"")"),192000)</f>
        <v>192000</v>
      </c>
      <c r="N61" s="52">
        <f ca="1">IFERROR(__xludf.DUMMYFUNCTION("IMPORTRANGE(""https://docs.google.com/spreadsheets/d/1MeEWN-I1oV_STSDYn1IFDPWt_1FKiwhDph83XaGc0o0/edit?usp=sharing"",""งบพรบ!AE16"")"),192000)</f>
        <v>192000</v>
      </c>
      <c r="O61" s="52">
        <f t="shared" ca="1" si="32"/>
        <v>100</v>
      </c>
      <c r="P61" s="52">
        <f t="shared" ca="1" si="33"/>
        <v>100</v>
      </c>
    </row>
    <row r="62" spans="1:1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1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1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1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16" ht="19.5" hidden="1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</row>
    <row r="67" spans="1:1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</row>
    <row r="68" spans="1:1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</row>
    <row r="69" spans="1:16" ht="18.75" hidden="1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</row>
    <row r="70" spans="1:1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</row>
    <row r="71" spans="1:1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IFERROR(__xludf.DUMMYFUNCTION("IMPORTRANGE(""https://docs.google.com/spreadsheets/d/1MeEWN-I1oV_STSDYn1IFDPWt_1FKiwhDph83XaGc0o0/edit?usp=sharing"",""งบพรบ!AG16"")"),0)</f>
        <v>0</v>
      </c>
      <c r="M71" s="93">
        <f ca="1">IFERROR(__xludf.DUMMYFUNCTION("IMPORTRANGE(""https://docs.google.com/spreadsheets/d/1MeEWN-I1oV_STSDYn1IFDPWt_1FKiwhDph83XaGc0o0/edit?usp=sharing"",""งบพรบ!AL16"")"),0)</f>
        <v>0</v>
      </c>
      <c r="N71" s="93">
        <f ca="1">IFERROR(__xludf.DUMMYFUNCTION("IMPORTRANGE(""https://docs.google.com/spreadsheets/d/1MeEWN-I1oV_STSDYn1IFDPWt_1FKiwhDph83XaGc0o0/edit?usp=sharing"",""งบพรบ!AN16"")"),0)</f>
        <v>0</v>
      </c>
      <c r="O71" s="93">
        <f t="shared" ca="1" si="40"/>
        <v>0</v>
      </c>
      <c r="P71" s="93">
        <f t="shared" ca="1" si="41"/>
        <v>0</v>
      </c>
    </row>
    <row r="72" spans="1:1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</row>
    <row r="73" spans="1:1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</row>
    <row r="74" spans="1:1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IFERROR(__xludf.DUMMYFUNCTION("IMPORTRANGE(""https://docs.google.com/spreadsheets/d/1MeEWN-I1oV_STSDYn1IFDPWt_1FKiwhDph83XaGc0o0/edit?usp=sharing"",""งบพรบ!AJ16"")"),0)</f>
        <v>0</v>
      </c>
      <c r="M74" s="93">
        <f ca="1">IFERROR(__xludf.DUMMYFUNCTION("IMPORTRANGE(""https://docs.google.com/spreadsheets/d/1MeEWN-I1oV_STSDYn1IFDPWt_1FKiwhDph83XaGc0o0/edit?usp=sharing"",""งบพรบ!AM16"")"),0)</f>
        <v>0</v>
      </c>
      <c r="N74" s="93">
        <f ca="1">IFERROR(__xludf.DUMMYFUNCTION("IMPORTRANGE(""https://docs.google.com/spreadsheets/d/1MeEWN-I1oV_STSDYn1IFDPWt_1FKiwhDph83XaGc0o0/edit?usp=sharing"",""งบพรบ!AO16"")"),0)</f>
        <v>0</v>
      </c>
      <c r="O74" s="93">
        <f t="shared" ca="1" si="40"/>
        <v>0</v>
      </c>
      <c r="P74" s="93">
        <f t="shared" ca="1" si="41"/>
        <v>0</v>
      </c>
    </row>
    <row r="75" spans="1:16" ht="19.5" hidden="1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1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1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16" ht="18.75" hidden="1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16" ht="18.75" hidden="1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16" ht="18.75" hidden="1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16" ht="18.75" hidden="1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16" ht="18.75" hidden="1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16" ht="18.75" hidden="1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16" ht="18.75" hidden="1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IFERROR(__xludf.DUMMYFUNCTION("IMPORTRANGE(""https://docs.google.com/spreadsheets/d/1QqKyyYR6Q21VydFLVH3TRQUabQu_ym0Zz7PgGX0-kHA/edit?usp=sharing"",""แผน!J16"")"),0)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1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1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1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1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23840</v>
      </c>
      <c r="N88" s="155">
        <f t="shared" ca="1" si="49"/>
        <v>21840</v>
      </c>
      <c r="O88" s="155">
        <f t="shared" ref="O88:O96" ca="1" si="50">IF(L88&gt;0,N88*100/L88,0)</f>
        <v>25.383542538354252</v>
      </c>
      <c r="P88" s="155">
        <f t="shared" ref="P88:P96" ca="1" si="51">IF(M88&gt;0,N88*100/M88,0)</f>
        <v>91.610738255033553</v>
      </c>
    </row>
    <row r="89" spans="1:1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</row>
    <row r="90" spans="1:1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23840</v>
      </c>
      <c r="N90" s="93">
        <f t="shared" ca="1" si="52"/>
        <v>21840</v>
      </c>
      <c r="O90" s="93">
        <f t="shared" ca="1" si="50"/>
        <v>25.383542538354252</v>
      </c>
      <c r="P90" s="93">
        <f t="shared" ca="1" si="51"/>
        <v>91.610738255033553</v>
      </c>
    </row>
    <row r="91" spans="1:1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23840</v>
      </c>
      <c r="N91" s="466">
        <f t="shared" ca="1" si="53"/>
        <v>21840</v>
      </c>
      <c r="O91" s="466">
        <f t="shared" ca="1" si="50"/>
        <v>25.383542538354252</v>
      </c>
      <c r="P91" s="466">
        <f t="shared" ca="1" si="51"/>
        <v>91.610738255033553</v>
      </c>
    </row>
    <row r="92" spans="1:1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</row>
    <row r="93" spans="1:1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IFERROR(__xludf.DUMMYFUNCTION("IMPORTRANGE(""https://docs.google.com/spreadsheets/d/1MeEWN-I1oV_STSDYn1IFDPWt_1FKiwhDph83XaGc0o0/edit?usp=sharing"",""งบพรบ!AQ16"")"),86040)</f>
        <v>86040</v>
      </c>
      <c r="M93" s="93">
        <f ca="1">IFERROR(__xludf.DUMMYFUNCTION("IMPORTRANGE(""https://docs.google.com/spreadsheets/d/1MeEWN-I1oV_STSDYn1IFDPWt_1FKiwhDph83XaGc0o0/edit?usp=sharing"",""งบพรบ!AV16"")"),23840)</f>
        <v>23840</v>
      </c>
      <c r="N93" s="93">
        <f ca="1">IFERROR(__xludf.DUMMYFUNCTION("IMPORTRANGE(""https://docs.google.com/spreadsheets/d/1MeEWN-I1oV_STSDYn1IFDPWt_1FKiwhDph83XaGc0o0/edit?usp=sharing"",""งบพรบ!AX16"")"),21840)</f>
        <v>21840</v>
      </c>
      <c r="O93" s="93">
        <f t="shared" ca="1" si="50"/>
        <v>25.383542538354252</v>
      </c>
      <c r="P93" s="93">
        <f t="shared" ca="1" si="51"/>
        <v>91.610738255033553</v>
      </c>
    </row>
    <row r="94" spans="1:1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</row>
    <row r="95" spans="1:1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</row>
    <row r="96" spans="1:1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IFERROR(__xludf.DUMMYFUNCTION("IMPORTRANGE(""https://docs.google.com/spreadsheets/d/1MeEWN-I1oV_STSDYn1IFDPWt_1FKiwhDph83XaGc0o0/edit?usp=sharing"",""งบพรบ!AT16"")"),0)</f>
        <v>0</v>
      </c>
      <c r="M96" s="93">
        <f ca="1">IFERROR(__xludf.DUMMYFUNCTION("IMPORTRANGE(""https://docs.google.com/spreadsheets/d/1MeEWN-I1oV_STSDYn1IFDPWt_1FKiwhDph83XaGc0o0/edit?usp=sharing"",""งบพรบ!AW16"")"),0)</f>
        <v>0</v>
      </c>
      <c r="N96" s="93">
        <f ca="1">IFERROR(__xludf.DUMMYFUNCTION("IMPORTRANGE(""https://docs.google.com/spreadsheets/d/1MeEWN-I1oV_STSDYn1IFDPWt_1FKiwhDph83XaGc0o0/edit?usp=sharing"",""งบพรบ!AY16"")"),0)</f>
        <v>0</v>
      </c>
      <c r="O96" s="93">
        <f t="shared" ca="1" si="50"/>
        <v>0</v>
      </c>
      <c r="P96" s="93">
        <f t="shared" ca="1" si="51"/>
        <v>0</v>
      </c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IFERROR(__xludf.DUMMYFUNCTION("IMPORTRANGE(""https://docs.google.com/spreadsheets/d/1QqKyyYR6Q21VydFLVH3TRQUabQu_ym0Zz7PgGX0-kHA/edit?usp=sharing"",""แผน!M16"")"),2)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IFERROR(__xludf.DUMMYFUNCTION("IMPORTRANGE(""https://docs.google.com/spreadsheets/d/1QqKyyYR6Q21VydFLVH3TRQUabQu_ym0Zz7PgGX0-kHA/edit?usp=sharing"",""แผน!P16"")"),1)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IFERROR(__xludf.DUMMYFUNCTION("IMPORTRANGE(""https://docs.google.com/spreadsheets/d/1QqKyyYR6Q21VydFLVH3TRQUabQu_ym0Zz7PgGX0-kHA/edit?usp=sharing"",""แผน!P16"")"),1)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IFERROR(__xludf.DUMMYFUNCTION("IMPORTRANGE(""https://docs.google.com/spreadsheets/d/1QqKyyYR6Q21VydFLVH3TRQUabQu_ym0Zz7PgGX0-kHA/edit?usp=sharing"",""แผน!Q16"")"),1)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IFERROR(__xludf.DUMMYFUNCTION("IMPORTRANGE(""https://docs.google.com/spreadsheets/d/1QqKyyYR6Q21VydFLVH3TRQUabQu_ym0Zz7PgGX0-kHA/edit?usp=sharing"",""แผน!Q16"")"),1)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IFERROR(__xludf.DUMMYFUNCTION("IMPORTRANGE(""https://docs.google.com/spreadsheets/d/1QqKyyYR6Q21VydFLVH3TRQUabQu_ym0Zz7PgGX0-kHA/edit?usp=sharing"",""แผน!R16"")"),10)</f>
        <v>10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1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1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1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1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1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1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16" ht="19.5" hidden="1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</row>
    <row r="120" spans="1:1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</row>
    <row r="121" spans="1:1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</row>
    <row r="122" spans="1:1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</row>
    <row r="123" spans="1:1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</row>
    <row r="124" spans="1:1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IFERROR(__xludf.DUMMYFUNCTION("IMPORTRANGE(""https://docs.google.com/spreadsheets/d/1MeEWN-I1oV_STSDYn1IFDPWt_1FKiwhDph83XaGc0o0/edit?usp=sharing"",""งบพรบ!BA16"")"),0)</f>
        <v>0</v>
      </c>
      <c r="M124" s="93">
        <f ca="1">IFERROR(__xludf.DUMMYFUNCTION("IMPORTRANGE(""https://docs.google.com/spreadsheets/d/1MeEWN-I1oV_STSDYn1IFDPWt_1FKiwhDph83XaGc0o0/edit?usp=sharing"",""งบพรบ!BF16"")"),0)</f>
        <v>0</v>
      </c>
      <c r="N124" s="93">
        <f ca="1">IFERROR(__xludf.DUMMYFUNCTION("IMPORTRANGE(""https://docs.google.com/spreadsheets/d/1MeEWN-I1oV_STSDYn1IFDPWt_1FKiwhDph83XaGc0o0/edit?usp=sharing"",""งบพรบ!BH16"")"),0)</f>
        <v>0</v>
      </c>
      <c r="O124" s="93">
        <f t="shared" ca="1" si="61"/>
        <v>0</v>
      </c>
      <c r="P124" s="93">
        <f t="shared" ca="1" si="62"/>
        <v>0</v>
      </c>
    </row>
    <row r="125" spans="1:1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</row>
    <row r="126" spans="1:1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</row>
    <row r="127" spans="1:1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IFERROR(__xludf.DUMMYFUNCTION("IMPORTRANGE(""https://docs.google.com/spreadsheets/d/1MeEWN-I1oV_STSDYn1IFDPWt_1FKiwhDph83XaGc0o0/edit?usp=sharing"",""งบพรบ!BD16"")"),0)</f>
        <v>0</v>
      </c>
      <c r="M127" s="93">
        <f ca="1">IFERROR(__xludf.DUMMYFUNCTION("IMPORTRANGE(""https://docs.google.com/spreadsheets/d/1MeEWN-I1oV_STSDYn1IFDPWt_1FKiwhDph83XaGc0o0/edit?usp=sharing"",""งบพรบ!BG16"")"),0)</f>
        <v>0</v>
      </c>
      <c r="N127" s="93">
        <f ca="1">IFERROR(__xludf.DUMMYFUNCTION("IMPORTRANGE(""https://docs.google.com/spreadsheets/d/1MeEWN-I1oV_STSDYn1IFDPWt_1FKiwhDph83XaGc0o0/edit?usp=sharing"",""งบพรบ!BI16"")"),0)</f>
        <v>0</v>
      </c>
      <c r="O127" s="93">
        <f t="shared" ca="1" si="61"/>
        <v>0</v>
      </c>
      <c r="P127" s="93">
        <f t="shared" ca="1" si="62"/>
        <v>0</v>
      </c>
    </row>
    <row r="128" spans="1:1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1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1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1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1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</row>
    <row r="133" spans="1:1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</row>
    <row r="134" spans="1:1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</row>
    <row r="135" spans="1:1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</row>
    <row r="136" spans="1:1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</row>
    <row r="137" spans="1:1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IFERROR(__xludf.DUMMYFUNCTION("IMPORTRANGE(""https://docs.google.com/spreadsheets/d/1MeEWN-I1oV_STSDYn1IFDPWt_1FKiwhDph83XaGc0o0/edit?usp=sharing"",""งบพรบ!BK16"")"),0)</f>
        <v>0</v>
      </c>
      <c r="M137" s="93">
        <f ca="1">IFERROR(__xludf.DUMMYFUNCTION("IMPORTRANGE(""https://docs.google.com/spreadsheets/d/1MeEWN-I1oV_STSDYn1IFDPWt_1FKiwhDph83XaGc0o0/edit?usp=sharing"",""งบพรบ!BP16"")"),0)</f>
        <v>0</v>
      </c>
      <c r="N137" s="93">
        <f ca="1">IFERROR(__xludf.DUMMYFUNCTION("IMPORTRANGE(""https://docs.google.com/spreadsheets/d/1MeEWN-I1oV_STSDYn1IFDPWt_1FKiwhDph83XaGc0o0/edit?usp=sharing"",""งบพรบ!BR16"")"),0)</f>
        <v>0</v>
      </c>
      <c r="O137" s="93">
        <f t="shared" ca="1" si="70"/>
        <v>0</v>
      </c>
      <c r="P137" s="93">
        <f t="shared" ca="1" si="71"/>
        <v>0</v>
      </c>
    </row>
    <row r="138" spans="1:1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</row>
    <row r="139" spans="1:1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</row>
    <row r="140" spans="1:1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IFERROR(__xludf.DUMMYFUNCTION("IMPORTRANGE(""https://docs.google.com/spreadsheets/d/1MeEWN-I1oV_STSDYn1IFDPWt_1FKiwhDph83XaGc0o0/edit?usp=sharing"",""งบพรบ!BN16"")"),0)</f>
        <v>0</v>
      </c>
      <c r="M140" s="93">
        <f ca="1">IFERROR(__xludf.DUMMYFUNCTION("IMPORTRANGE(""https://docs.google.com/spreadsheets/d/1MeEWN-I1oV_STSDYn1IFDPWt_1FKiwhDph83XaGc0o0/edit?usp=sharing"",""งบพรบ!BQ16"")"),0)</f>
        <v>0</v>
      </c>
      <c r="N140" s="93">
        <f ca="1">IFERROR(__xludf.DUMMYFUNCTION("IMPORTRANGE(""https://docs.google.com/spreadsheets/d/1MeEWN-I1oV_STSDYn1IFDPWt_1FKiwhDph83XaGc0o0/edit?usp=sharing"",""งบพรบ!BS16"")"),0)</f>
        <v>0</v>
      </c>
      <c r="O140" s="93">
        <f t="shared" ca="1" si="70"/>
        <v>0</v>
      </c>
      <c r="P140" s="93">
        <f t="shared" ca="1" si="71"/>
        <v>0</v>
      </c>
    </row>
    <row r="141" spans="1:1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1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1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1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1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1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1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16" ht="19.5" hidden="1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</row>
    <row r="149" spans="1:16" ht="19.5" hidden="1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</row>
    <row r="150" spans="1:1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</row>
    <row r="151" spans="1:1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2000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</row>
    <row r="152" spans="1:16" ht="18.75" hidden="1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2000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</row>
    <row r="153" spans="1:1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</row>
    <row r="154" spans="1:1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IFERROR(__xludf.DUMMYFUNCTION("IMPORTRANGE(""https://docs.google.com/spreadsheets/d/1MeEWN-I1oV_STSDYn1IFDPWt_1FKiwhDph83XaGc0o0/edit?usp=sharing"",""งบพรบ!BU16"")"),0)</f>
        <v>0</v>
      </c>
      <c r="M154" s="93">
        <f ca="1">IFERROR(__xludf.DUMMYFUNCTION("IMPORTRANGE(""https://docs.google.com/spreadsheets/d/1MeEWN-I1oV_STSDYn1IFDPWt_1FKiwhDph83XaGc0o0/edit?usp=sharing"",""งบพรบ!BZ16"")"),2000)</f>
        <v>2000</v>
      </c>
      <c r="N154" s="93">
        <f ca="1">IFERROR(__xludf.DUMMYFUNCTION("IMPORTRANGE(""https://docs.google.com/spreadsheets/d/1MeEWN-I1oV_STSDYn1IFDPWt_1FKiwhDph83XaGc0o0/edit?usp=sharing"",""งบพรบ!CB16"")"),0)</f>
        <v>0</v>
      </c>
      <c r="O154" s="93">
        <f t="shared" ca="1" si="78"/>
        <v>0</v>
      </c>
      <c r="P154" s="93">
        <f t="shared" ca="1" si="79"/>
        <v>0</v>
      </c>
    </row>
    <row r="155" spans="1:1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</row>
    <row r="156" spans="1:1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</row>
    <row r="157" spans="1:1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IFERROR(__xludf.DUMMYFUNCTION("IMPORTRANGE(""https://docs.google.com/spreadsheets/d/1MeEWN-I1oV_STSDYn1IFDPWt_1FKiwhDph83XaGc0o0/edit?usp=sharing"",""งบพรบ!BX16"")"),0)</f>
        <v>0</v>
      </c>
      <c r="M157" s="93">
        <f ca="1">IFERROR(__xludf.DUMMYFUNCTION("IMPORTRANGE(""https://docs.google.com/spreadsheets/d/1MeEWN-I1oV_STSDYn1IFDPWt_1FKiwhDph83XaGc0o0/edit?usp=sharing"",""งบพรบ!CA16"")"),0)</f>
        <v>0</v>
      </c>
      <c r="N157" s="93">
        <f ca="1">IFERROR(__xludf.DUMMYFUNCTION("IMPORTRANGE(""https://docs.google.com/spreadsheets/d/1MeEWN-I1oV_STSDYn1IFDPWt_1FKiwhDph83XaGc0o0/edit?usp=sharing"",""งบพรบ!CC16"")"),0)</f>
        <v>0</v>
      </c>
      <c r="O157" s="93">
        <f t="shared" ca="1" si="78"/>
        <v>0</v>
      </c>
      <c r="P157" s="93">
        <f t="shared" ca="1" si="79"/>
        <v>0</v>
      </c>
    </row>
    <row r="158" spans="1:16" ht="19.5" hidden="1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1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1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</row>
    <row r="161" spans="1:1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</row>
    <row r="162" spans="1:1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1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1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1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</row>
    <row r="166" spans="1:1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</row>
    <row r="167" spans="1:1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</row>
    <row r="168" spans="1:1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22055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100</v>
      </c>
    </row>
    <row r="169" spans="1:1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</row>
    <row r="170" spans="1:1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IFERROR(__xludf.DUMMYFUNCTION("IMPORTRANGE(""https://docs.google.com/spreadsheets/d/1MeEWN-I1oV_STSDYn1IFDPWt_1FKiwhDph83XaGc0o0/edit?usp=sharing"",""งบพรบ!CE16"")"),22055)</f>
        <v>22055</v>
      </c>
      <c r="M170" s="93">
        <f ca="1">IFERROR(__xludf.DUMMYFUNCTION("IMPORTRANGE(""https://docs.google.com/spreadsheets/d/1MeEWN-I1oV_STSDYn1IFDPWt_1FKiwhDph83XaGc0o0/edit?usp=sharing"",""งบพรบ!CJ16"")"),22055)</f>
        <v>22055</v>
      </c>
      <c r="N170" s="93">
        <f ca="1">IFERROR(__xludf.DUMMYFUNCTION("IMPORTRANGE(""https://docs.google.com/spreadsheets/d/1MeEWN-I1oV_STSDYn1IFDPWt_1FKiwhDph83XaGc0o0/edit?usp=sharing"",""งบพรบ!CL16"")"),22055)</f>
        <v>22055</v>
      </c>
      <c r="O170" s="93">
        <f t="shared" ca="1" si="85"/>
        <v>100</v>
      </c>
      <c r="P170" s="93">
        <f t="shared" ca="1" si="86"/>
        <v>100</v>
      </c>
    </row>
    <row r="171" spans="1:1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</row>
    <row r="172" spans="1:1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</row>
    <row r="173" spans="1:1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IFERROR(__xludf.DUMMYFUNCTION("IMPORTRANGE(""https://docs.google.com/spreadsheets/d/1MeEWN-I1oV_STSDYn1IFDPWt_1FKiwhDph83XaGc0o0/edit?usp=sharing"",""งบพรบ!CH16"")"),0)</f>
        <v>0</v>
      </c>
      <c r="M173" s="93">
        <f ca="1">IFERROR(__xludf.DUMMYFUNCTION("IMPORTRANGE(""https://docs.google.com/spreadsheets/d/1MeEWN-I1oV_STSDYn1IFDPWt_1FKiwhDph83XaGc0o0/edit?usp=sharing"",""งบพรบ!CK16"")"),0)</f>
        <v>0</v>
      </c>
      <c r="N173" s="93">
        <f ca="1">IFERROR(__xludf.DUMMYFUNCTION("IMPORTRANGE(""https://docs.google.com/spreadsheets/d/1MeEWN-I1oV_STSDYn1IFDPWt_1FKiwhDph83XaGc0o0/edit?usp=sharing"",""งบพรบ!CM16"")"),0)</f>
        <v>0</v>
      </c>
      <c r="O173" s="93">
        <f t="shared" ca="1" si="85"/>
        <v>0</v>
      </c>
      <c r="P173" s="93">
        <f t="shared" ca="1" si="86"/>
        <v>0</v>
      </c>
    </row>
    <row r="174" spans="1:1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1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1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1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1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1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1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60</v>
      </c>
      <c r="K180" s="254">
        <f ca="1">IF(I180&gt;0,J180*100/I180,0)</f>
        <v>60</v>
      </c>
      <c r="L180" s="255"/>
      <c r="M180" s="255"/>
      <c r="N180" s="255"/>
      <c r="O180" s="255"/>
      <c r="P180" s="255"/>
    </row>
    <row r="181" spans="1:1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757600</v>
      </c>
      <c r="M181" s="155">
        <f t="shared" ca="1" si="92"/>
        <v>380750</v>
      </c>
      <c r="N181" s="155">
        <f t="shared" ca="1" si="92"/>
        <v>271747.21000000002</v>
      </c>
      <c r="O181" s="155">
        <f t="shared" ref="O181:O189" ca="1" si="93">IF(L181&gt;0,N181*100/L181,0)</f>
        <v>35.86948389651532</v>
      </c>
      <c r="P181" s="155">
        <f t="shared" ref="P181:P189" ca="1" si="94">IF(M181&gt;0,N181*100/M181,0)</f>
        <v>71.37155876559423</v>
      </c>
    </row>
    <row r="182" spans="1:1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</row>
    <row r="183" spans="1:1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757600</v>
      </c>
      <c r="M183" s="93">
        <f t="shared" ca="1" si="95"/>
        <v>380750</v>
      </c>
      <c r="N183" s="93">
        <f t="shared" ca="1" si="95"/>
        <v>271747.21000000002</v>
      </c>
      <c r="O183" s="93">
        <f t="shared" ca="1" si="93"/>
        <v>35.86948389651532</v>
      </c>
      <c r="P183" s="93">
        <f t="shared" ca="1" si="94"/>
        <v>71.37155876559423</v>
      </c>
    </row>
    <row r="184" spans="1:1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757600</v>
      </c>
      <c r="M184" s="466">
        <f t="shared" ca="1" si="96"/>
        <v>380750</v>
      </c>
      <c r="N184" s="466">
        <f t="shared" ca="1" si="96"/>
        <v>271747.21000000002</v>
      </c>
      <c r="O184" s="466">
        <f t="shared" ca="1" si="93"/>
        <v>35.86948389651532</v>
      </c>
      <c r="P184" s="466">
        <f t="shared" ca="1" si="94"/>
        <v>71.37155876559423</v>
      </c>
    </row>
    <row r="185" spans="1:1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</row>
    <row r="186" spans="1:1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IFERROR(__xludf.DUMMYFUNCTION("IMPORTRANGE(""https://docs.google.com/spreadsheets/d/1MeEWN-I1oV_STSDYn1IFDPWt_1FKiwhDph83XaGc0o0/edit?usp=sharing"",""งบพรบ!CO16"")"),757600)</f>
        <v>757600</v>
      </c>
      <c r="M186" s="93">
        <f ca="1">IFERROR(__xludf.DUMMYFUNCTION("IMPORTRANGE(""https://docs.google.com/spreadsheets/d/1MeEWN-I1oV_STSDYn1IFDPWt_1FKiwhDph83XaGc0o0/edit?usp=sharing"",""งบพรบ!CT16"")"),380750)</f>
        <v>380750</v>
      </c>
      <c r="N186" s="93">
        <f ca="1">IFERROR(__xludf.DUMMYFUNCTION("IMPORTRANGE(""https://docs.google.com/spreadsheets/d/1MeEWN-I1oV_STSDYn1IFDPWt_1FKiwhDph83XaGc0o0/edit?usp=sharing"",""งบพรบ!CV16"")"),271747.21)</f>
        <v>271747.21000000002</v>
      </c>
      <c r="O186" s="93">
        <f t="shared" ca="1" si="93"/>
        <v>35.86948389651532</v>
      </c>
      <c r="P186" s="93">
        <f t="shared" ca="1" si="94"/>
        <v>71.37155876559423</v>
      </c>
    </row>
    <row r="187" spans="1:1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</row>
    <row r="188" spans="1:1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</row>
    <row r="189" spans="1:1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IFERROR(__xludf.DUMMYFUNCTION("IMPORTRANGE(""https://docs.google.com/spreadsheets/d/1MeEWN-I1oV_STSDYn1IFDPWt_1FKiwhDph83XaGc0o0/edit?usp=sharing"",""งบพรบ!CR16"")"),0)</f>
        <v>0</v>
      </c>
      <c r="M189" s="93">
        <f ca="1">IFERROR(__xludf.DUMMYFUNCTION("IMPORTRANGE(""https://docs.google.com/spreadsheets/d/1MeEWN-I1oV_STSDYn1IFDPWt_1FKiwhDph83XaGc0o0/edit?usp=sharing"",""งบพรบ!CU16"")"),0)</f>
        <v>0</v>
      </c>
      <c r="N189" s="93">
        <f ca="1">IFERROR(__xludf.DUMMYFUNCTION("IMPORTRANGE(""https://docs.google.com/spreadsheets/d/1MeEWN-I1oV_STSDYn1IFDPWt_1FKiwhDph83XaGc0o0/edit?usp=sharing"",""งบพรบ!CW16"")"),0)</f>
        <v>0</v>
      </c>
      <c r="O189" s="93">
        <f t="shared" ca="1" si="93"/>
        <v>0</v>
      </c>
      <c r="P189" s="93">
        <f t="shared" ca="1" si="94"/>
        <v>0</v>
      </c>
    </row>
    <row r="190" spans="1:1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1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IFERROR(__xludf.DUMMYFUNCTION("IMPORTRANGE(""https://docs.google.com/spreadsheets/d/1QqKyyYR6Q21VydFLVH3TRQUabQu_ym0Zz7PgGX0-kHA/edit?usp=sharing"",""แผน!Z16"")"),6000)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</row>
    <row r="192" spans="1:1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</row>
    <row r="193" spans="1:1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IFERROR(__xludf.DUMMYFUNCTION("IMPORTRANGE(""https://docs.google.com/spreadsheets/d/1QqKyyYR6Q21VydFLVH3TRQUabQu_ym0Zz7PgGX0-kHA/edit?usp=sharing"",""แผน!AC16"")"),4)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</row>
    <row r="194" spans="1:1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35</v>
      </c>
      <c r="K194" s="466"/>
      <c r="L194" s="466"/>
      <c r="M194" s="466"/>
      <c r="N194" s="466"/>
      <c r="O194" s="466"/>
      <c r="P194" s="466"/>
    </row>
    <row r="195" spans="1:1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35</v>
      </c>
      <c r="K195" s="466"/>
      <c r="L195" s="466"/>
      <c r="M195" s="466"/>
      <c r="N195" s="466"/>
      <c r="O195" s="466"/>
      <c r="P195" s="466"/>
    </row>
    <row r="196" spans="1:1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</row>
    <row r="197" spans="1:1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1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</row>
    <row r="199" spans="1:1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IFERROR(__xludf.DUMMYFUNCTION("IMPORTRANGE(""https://docs.google.com/spreadsheets/d/1QqKyyYR6Q21VydFLVH3TRQUabQu_ym0Zz7PgGX0-kHA/edit?usp=sharing"",""แผน!AE16"")"),2000)</f>
        <v>2000</v>
      </c>
      <c r="M199" s="466"/>
      <c r="N199" s="798">
        <v>2000</v>
      </c>
      <c r="O199" s="466"/>
      <c r="P199" s="466"/>
    </row>
    <row r="200" spans="1:1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IFERROR(__xludf.DUMMYFUNCTION("IMPORTRANGE(""https://docs.google.com/spreadsheets/d/1QqKyyYR6Q21VydFLVH3TRQUabQu_ym0Zz7PgGX0-kHA/edit?usp=sharing"",""แผน!AF16"")"),16000)</f>
        <v>16000</v>
      </c>
      <c r="M200" s="466"/>
      <c r="N200" s="798">
        <v>16000</v>
      </c>
      <c r="O200" s="466"/>
      <c r="P200" s="466"/>
    </row>
    <row r="201" spans="1:1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IFERROR(__xludf.DUMMYFUNCTION("IMPORTRANGE(""https://docs.google.com/spreadsheets/d/1QqKyyYR6Q21VydFLVH3TRQUabQu_ym0Zz7PgGX0-kHA/edit?usp=sharing"",""แผน!AG16"")"),8000)</f>
        <v>8000</v>
      </c>
      <c r="M201" s="466"/>
      <c r="N201" s="798">
        <v>0</v>
      </c>
      <c r="O201" s="466"/>
      <c r="P201" s="466"/>
    </row>
    <row r="202" spans="1:1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IFERROR(__xludf.DUMMYFUNCTION("IMPORTRANGE(""https://docs.google.com/spreadsheets/d/1QqKyyYR6Q21VydFLVH3TRQUabQu_ym0Zz7PgGX0-kHA/edit?usp=sharing"",""แผน!AH16"")"),0)</f>
        <v>0</v>
      </c>
      <c r="M202" s="466"/>
      <c r="N202" s="798">
        <v>0</v>
      </c>
      <c r="O202" s="466"/>
      <c r="P202" s="466"/>
    </row>
    <row r="203" spans="1:1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</row>
    <row r="204" spans="1:1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IFERROR(__xludf.DUMMYFUNCTION("IMPORTRANGE(""https://docs.google.com/spreadsheets/d/1QqKyyYR6Q21VydFLVH3TRQUabQu_ym0Zz7PgGX0-kHA/edit?usp=sharing"",""แผน!AI16"")"),2)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</row>
    <row r="205" spans="1:1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</row>
    <row r="206" spans="1:1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</row>
    <row r="207" spans="1:1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</row>
    <row r="208" spans="1:1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16" ht="19.5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</row>
    <row r="210" spans="1:16" ht="18.75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IFERROR(__xludf.DUMMYFUNCTION("IMPORTRANGE(""https://docs.google.com/spreadsheets/d/1QqKyyYR6Q21VydFLVH3TRQUabQu_ym0Zz7PgGX0-kHA/edit?usp=sharing"",""แผน!AK16"")"),1000)</f>
        <v>1000</v>
      </c>
      <c r="M210" s="466"/>
      <c r="N210" s="798">
        <v>0</v>
      </c>
      <c r="O210" s="466"/>
      <c r="P210" s="466"/>
    </row>
    <row r="211" spans="1:16" ht="19.5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IFERROR(__xludf.DUMMYFUNCTION("IMPORTRANGE(""https://docs.google.com/spreadsheets/d/1QqKyyYR6Q21VydFLVH3TRQUabQu_ym0Zz7PgGX0-kHA/edit?usp=sharing"",""แผน!AL16"")"),5000)</f>
        <v>5000</v>
      </c>
      <c r="M211" s="466"/>
      <c r="N211" s="798">
        <v>0</v>
      </c>
      <c r="O211" s="466"/>
      <c r="P211" s="466"/>
    </row>
    <row r="212" spans="1:16" ht="19.5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IFERROR(__xludf.DUMMYFUNCTION("IMPORTRANGE(""https://docs.google.com/spreadsheets/d/1QqKyyYR6Q21VydFLVH3TRQUabQu_ym0Zz7PgGX0-kHA/edit?usp=sharing"",""แผน!AM16"")"),8000)</f>
        <v>8000</v>
      </c>
      <c r="M212" s="466"/>
      <c r="N212" s="798">
        <v>0</v>
      </c>
      <c r="O212" s="466"/>
      <c r="P212" s="466"/>
    </row>
    <row r="213" spans="1:16" ht="19.5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</row>
    <row r="214" spans="1:16" ht="18.75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IFERROR(__xludf.DUMMYFUNCTION("IMPORTRANGE(""https://docs.google.com/spreadsheets/d/1QqKyyYR6Q21VydFLVH3TRQUabQu_ym0Zz7PgGX0-kHA/edit?usp=sharing"",""แผน!AN16"")"),1)</f>
        <v>1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</row>
    <row r="215" spans="1:16" ht="18.75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IFERROR(__xludf.DUMMYFUNCTION("IMPORTRANGE(""https://docs.google.com/spreadsheets/d/1QqKyyYR6Q21VydFLVH3TRQUabQu_ym0Zz7PgGX0-kHA/edit?usp=sharing"",""แผน!AN16"")"),1)</f>
        <v>1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</row>
    <row r="216" spans="1:1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13000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1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</row>
    <row r="218" spans="1:1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IFERROR(__xludf.DUMMYFUNCTION("IMPORTRANGE(""https://docs.google.com/spreadsheets/d/1QqKyyYR6Q21VydFLVH3TRQUabQu_ym0Zz7PgGX0-kHA/edit?usp=sharing"",""แผน!AP16"")"),3000)</f>
        <v>3000</v>
      </c>
      <c r="M218" s="466"/>
      <c r="N218" s="798">
        <v>0</v>
      </c>
      <c r="O218" s="466"/>
      <c r="P218" s="466"/>
    </row>
    <row r="219" spans="1:1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IFERROR(__xludf.DUMMYFUNCTION("IMPORTRANGE(""https://docs.google.com/spreadsheets/d/1QqKyyYR6Q21VydFLVH3TRQUabQu_ym0Zz7PgGX0-kHA/edit?usp=sharing"",""แผน!AQ16"")"),4100)</f>
        <v>4100</v>
      </c>
      <c r="M219" s="466"/>
      <c r="N219" s="798">
        <v>0</v>
      </c>
      <c r="O219" s="466"/>
      <c r="P219" s="466"/>
    </row>
    <row r="220" spans="1:1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IFERROR(__xludf.DUMMYFUNCTION("IMPORTRANGE(""https://docs.google.com/spreadsheets/d/1QqKyyYR6Q21VydFLVH3TRQUabQu_ym0Zz7PgGX0-kHA/edit?usp=sharing"",""แผน!AR16"")"),0)</f>
        <v>0</v>
      </c>
      <c r="M220" s="466"/>
      <c r="N220" s="798">
        <v>0</v>
      </c>
      <c r="O220" s="466"/>
      <c r="P220" s="466"/>
    </row>
    <row r="221" spans="1:1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</row>
    <row r="222" spans="1:1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</row>
    <row r="223" spans="1:1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IFERROR(__xludf.DUMMYFUNCTION("IMPORTRANGE(""https://docs.google.com/spreadsheets/d/1QqKyyYR6Q21VydFLVH3TRQUabQu_ym0Zz7PgGX0-kHA/edit?usp=sharing"",""แผน!AT16"")"),13000)</f>
        <v>13000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</row>
    <row r="224" spans="1:1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IFERROR(__xludf.DUMMYFUNCTION("IMPORTRANGE(""https://docs.google.com/spreadsheets/d/1QqKyyYR6Q21VydFLVH3TRQUabQu_ym0Zz7PgGX0-kHA/edit?usp=sharing"",""แผน!AT16"")"),13000)</f>
        <v>13000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</row>
    <row r="225" spans="1:1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IFERROR(__xludf.DUMMYFUNCTION("IMPORTRANGE(""https://docs.google.com/spreadsheets/d/1QqKyyYR6Q21VydFLVH3TRQUabQu_ym0Zz7PgGX0-kHA/edit?usp=sharing"",""แผน!AS16"")"),0)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</row>
    <row r="226" spans="1:1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100</v>
      </c>
      <c r="J226" s="841">
        <f t="shared" si="105"/>
        <v>60</v>
      </c>
      <c r="K226" s="842">
        <f t="shared" ca="1" si="104"/>
        <v>60</v>
      </c>
      <c r="L226" s="262"/>
      <c r="M226" s="262"/>
      <c r="N226" s="262"/>
      <c r="O226" s="262"/>
      <c r="P226" s="262"/>
    </row>
    <row r="227" spans="1:1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533800</v>
      </c>
      <c r="M227" s="851"/>
      <c r="N227" s="851">
        <f t="shared" ref="N227:N231" si="107">N238+N249</f>
        <v>182003</v>
      </c>
      <c r="O227" s="852"/>
      <c r="P227" s="852"/>
    </row>
    <row r="228" spans="1:1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334200</v>
      </c>
      <c r="M228" s="93"/>
      <c r="N228" s="93">
        <f t="shared" si="107"/>
        <v>91823</v>
      </c>
      <c r="O228" s="93"/>
      <c r="P228" s="93"/>
    </row>
    <row r="229" spans="1:1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139600</v>
      </c>
      <c r="M229" s="93"/>
      <c r="N229" s="93">
        <f t="shared" si="107"/>
        <v>90180</v>
      </c>
      <c r="O229" s="93"/>
      <c r="P229" s="93"/>
    </row>
    <row r="230" spans="1:1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</row>
    <row r="231" spans="1:1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60000</v>
      </c>
      <c r="M231" s="93"/>
      <c r="N231" s="93">
        <f t="shared" si="107"/>
        <v>0</v>
      </c>
      <c r="O231" s="93"/>
      <c r="P231" s="93"/>
    </row>
    <row r="232" spans="1:1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</row>
    <row r="233" spans="1:1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100</v>
      </c>
      <c r="J233" s="584">
        <f t="shared" si="108"/>
        <v>60</v>
      </c>
      <c r="K233" s="93">
        <f ca="1">IF(I233&gt;0,J233*100/I233,0)</f>
        <v>60</v>
      </c>
      <c r="L233" s="93"/>
      <c r="M233" s="93"/>
      <c r="N233" s="93"/>
      <c r="O233" s="93"/>
      <c r="P233" s="93"/>
    </row>
    <row r="234" spans="1:1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</row>
    <row r="235" spans="1:1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</row>
    <row r="236" spans="1:1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3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</row>
    <row r="237" spans="1:16" ht="19.5">
      <c r="A237" s="256"/>
      <c r="B237" s="264"/>
      <c r="C237" s="340" t="s">
        <v>335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60</v>
      </c>
      <c r="K237" s="273">
        <f t="shared" ca="1" si="110"/>
        <v>60</v>
      </c>
      <c r="L237" s="262"/>
      <c r="M237" s="262"/>
      <c r="N237" s="262"/>
      <c r="O237" s="262"/>
      <c r="P237" s="262"/>
    </row>
    <row r="238" spans="1:16" ht="19.5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533800</v>
      </c>
      <c r="M238" s="155"/>
      <c r="N238" s="155">
        <f>N239+N240+N241+N242</f>
        <v>182003</v>
      </c>
      <c r="O238" s="155">
        <f ca="1">IF(L238&gt;0,N238*100/L238,0)</f>
        <v>34.095728737354811</v>
      </c>
      <c r="P238" s="155">
        <f>IF(M238&gt;0,N238*100/M238,0)</f>
        <v>0</v>
      </c>
    </row>
    <row r="239" spans="1:1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IFERROR(__xludf.DUMMYFUNCTION("IMPORTRANGE(""https://docs.google.com/spreadsheets/d/1QqKyyYR6Q21VydFLVH3TRQUabQu_ym0Zz7PgGX0-kHA/edit?usp=sharing"",""แผน!AV16"")"),334200)</f>
        <v>334200</v>
      </c>
      <c r="M239" s="322"/>
      <c r="N239" s="341">
        <v>91823</v>
      </c>
      <c r="O239" s="322"/>
      <c r="P239" s="322"/>
    </row>
    <row r="240" spans="1:1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IFERROR(__xludf.DUMMYFUNCTION("IMPORTRANGE(""https://docs.google.com/spreadsheets/d/1QqKyyYR6Q21VydFLVH3TRQUabQu_ym0Zz7PgGX0-kHA/edit?usp=sharing"",""แผน!AW16"")"),139600)</f>
        <v>139600</v>
      </c>
      <c r="M240" s="322"/>
      <c r="N240" s="341">
        <v>90180</v>
      </c>
      <c r="O240" s="322"/>
      <c r="P240" s="322"/>
    </row>
    <row r="241" spans="1:1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IFERROR(__xludf.DUMMYFUNCTION("IMPORTRANGE(""https://docs.google.com/spreadsheets/d/1QqKyyYR6Q21VydFLVH3TRQUabQu_ym0Zz7PgGX0-kHA/edit?usp=sharing"",""แผน!AX16"")"),0)</f>
        <v>0</v>
      </c>
      <c r="M241" s="322"/>
      <c r="N241" s="341">
        <v>0</v>
      </c>
      <c r="O241" s="322"/>
      <c r="P241" s="322"/>
    </row>
    <row r="242" spans="1:1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IFERROR(__xludf.DUMMYFUNCTION("IMPORTRANGE(""https://docs.google.com/spreadsheets/d/1QqKyyYR6Q21VydFLVH3TRQUabQu_ym0Zz7PgGX0-kHA/edit?usp=sharing"",""แผน!AY16"")"),60000)</f>
        <v>60000</v>
      </c>
      <c r="M242" s="322"/>
      <c r="N242" s="341">
        <v>0</v>
      </c>
      <c r="O242" s="322"/>
      <c r="P242" s="322"/>
    </row>
    <row r="243" spans="1:16" ht="19.5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</row>
    <row r="244" spans="1:16" ht="18.75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IFERROR(__xludf.DUMMYFUNCTION("IMPORTRANGE(""https://docs.google.com/spreadsheets/d/1QqKyyYR6Q21VydFLVH3TRQUabQu_ym0Zz7PgGX0-kHA/edit?usp=sharing"",""แผน!BE16"")"),100)</f>
        <v>100</v>
      </c>
      <c r="J244" s="215">
        <v>60</v>
      </c>
      <c r="K244" s="466">
        <f ca="1">IF(I244&gt;0,J244*100/I244,0)</f>
        <v>60</v>
      </c>
      <c r="L244" s="466"/>
      <c r="M244" s="466"/>
      <c r="N244" s="466"/>
      <c r="O244" s="466"/>
      <c r="P244" s="466"/>
    </row>
    <row r="245" spans="1:16" ht="18.75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</row>
    <row r="246" spans="1:16" ht="18.75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</row>
    <row r="247" spans="1:16" ht="18.75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</row>
    <row r="248" spans="1:1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1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</row>
    <row r="250" spans="1:1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IFERROR(__xludf.DUMMYFUNCTION("IMPORTRANGE(""https://docs.google.com/spreadsheets/d/1QqKyyYR6Q21VydFLVH3TRQUabQu_ym0Zz7PgGX0-kHA/edit?usp=sharing"",""แผน!AZ16"")"),0)</f>
        <v>0</v>
      </c>
      <c r="M250" s="322"/>
      <c r="N250" s="341">
        <v>0</v>
      </c>
      <c r="O250" s="322"/>
      <c r="P250" s="322"/>
    </row>
    <row r="251" spans="1:1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IFERROR(__xludf.DUMMYFUNCTION("IMPORTRANGE(""https://docs.google.com/spreadsheets/d/1QqKyyYR6Q21VydFLVH3TRQUabQu_ym0Zz7PgGX0-kHA/edit?usp=sharing"",""แผน!BA16"")"),0)</f>
        <v>0</v>
      </c>
      <c r="M251" s="322"/>
      <c r="N251" s="341">
        <v>0</v>
      </c>
      <c r="O251" s="322"/>
      <c r="P251" s="322"/>
    </row>
    <row r="252" spans="1:1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IFERROR(__xludf.DUMMYFUNCTION("IMPORTRANGE(""https://docs.google.com/spreadsheets/d/1QqKyyYR6Q21VydFLVH3TRQUabQu_ym0Zz7PgGX0-kHA/edit?usp=sharing"",""แผน!BB16"")"),0)</f>
        <v>0</v>
      </c>
      <c r="M252" s="322"/>
      <c r="N252" s="341">
        <v>0</v>
      </c>
      <c r="O252" s="322"/>
      <c r="P252" s="322"/>
    </row>
    <row r="253" spans="1:1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IFERROR(__xludf.DUMMYFUNCTION("IMPORTRANGE(""https://docs.google.com/spreadsheets/d/1QqKyyYR6Q21VydFLVH3TRQUabQu_ym0Zz7PgGX0-kHA/edit?usp=sharing"",""แผน!BC16"")"),0)</f>
        <v>0</v>
      </c>
      <c r="M253" s="322"/>
      <c r="N253" s="341">
        <v>0</v>
      </c>
      <c r="O253" s="322"/>
      <c r="P253" s="322"/>
    </row>
    <row r="254" spans="1:1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</row>
    <row r="255" spans="1:1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IFERROR(__xludf.DUMMYFUNCTION("IMPORTRANGE(""https://docs.google.com/spreadsheets/d/1QqKyyYR6Q21VydFLVH3TRQUabQu_ym0Zz7PgGX0-kHA/edit?usp=sharing"",""แผน!BF16"")"),0)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</row>
    <row r="256" spans="1:1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</row>
    <row r="257" spans="1:1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</row>
    <row r="258" spans="1:1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</row>
    <row r="259" spans="1:1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1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1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27340</v>
      </c>
      <c r="O261" s="155">
        <f t="shared" ref="O261:O269" ca="1" si="117">IF(L261&gt;0,N261*100/L261,0)</f>
        <v>89.055374592833871</v>
      </c>
      <c r="P261" s="155">
        <f t="shared" ref="P261:P269" ca="1" si="118">IF(M261&gt;0,N261*100/M261,0)</f>
        <v>98.700361010830321</v>
      </c>
    </row>
    <row r="262" spans="1:1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</row>
    <row r="263" spans="1:1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27340</v>
      </c>
      <c r="O263" s="93">
        <f t="shared" ca="1" si="117"/>
        <v>89.055374592833871</v>
      </c>
      <c r="P263" s="93">
        <f t="shared" ca="1" si="118"/>
        <v>98.700361010830321</v>
      </c>
    </row>
    <row r="264" spans="1:1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27340</v>
      </c>
      <c r="O264" s="466">
        <f t="shared" ca="1" si="117"/>
        <v>89.055374592833871</v>
      </c>
      <c r="P264" s="466">
        <f t="shared" ca="1" si="118"/>
        <v>98.700361010830321</v>
      </c>
    </row>
    <row r="265" spans="1:1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</row>
    <row r="266" spans="1:1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IFERROR(__xludf.DUMMYFUNCTION("IMPORTRANGE(""https://docs.google.com/spreadsheets/d/1MeEWN-I1oV_STSDYn1IFDPWt_1FKiwhDph83XaGc0o0/edit?usp=sharing"",""งบพรบ!CY16"")"),30700)</f>
        <v>30700</v>
      </c>
      <c r="M266" s="93">
        <f ca="1">IFERROR(__xludf.DUMMYFUNCTION("IMPORTRANGE(""https://docs.google.com/spreadsheets/d/1MeEWN-I1oV_STSDYn1IFDPWt_1FKiwhDph83XaGc0o0/edit?usp=sharing"",""งบพรบ!DD16"")"),27700)</f>
        <v>27700</v>
      </c>
      <c r="N266" s="93">
        <f ca="1">IFERROR(__xludf.DUMMYFUNCTION("IMPORTRANGE(""https://docs.google.com/spreadsheets/d/1MeEWN-I1oV_STSDYn1IFDPWt_1FKiwhDph83XaGc0o0/edit?usp=sharing"",""งบพรบ!DF16"")"),27340)</f>
        <v>27340</v>
      </c>
      <c r="O266" s="93">
        <f t="shared" ca="1" si="117"/>
        <v>89.055374592833871</v>
      </c>
      <c r="P266" s="93">
        <f t="shared" ca="1" si="118"/>
        <v>98.700361010830321</v>
      </c>
    </row>
    <row r="267" spans="1:1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</row>
    <row r="268" spans="1:1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</row>
    <row r="269" spans="1:1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IFERROR(__xludf.DUMMYFUNCTION("IMPORTRANGE(""https://docs.google.com/spreadsheets/d/1MeEWN-I1oV_STSDYn1IFDPWt_1FKiwhDph83XaGc0o0/edit?usp=sharing"",""งบพรบ!DB16"")"),0)</f>
        <v>0</v>
      </c>
      <c r="M269" s="93">
        <f ca="1">IFERROR(__xludf.DUMMYFUNCTION("IMPORTRANGE(""https://docs.google.com/spreadsheets/d/1MeEWN-I1oV_STSDYn1IFDPWt_1FKiwhDph83XaGc0o0/edit?usp=sharing"",""งบพรบ!DE16"")"),0)</f>
        <v>0</v>
      </c>
      <c r="N269" s="93">
        <f ca="1">IFERROR(__xludf.DUMMYFUNCTION("IMPORTRANGE(""https://docs.google.com/spreadsheets/d/1MeEWN-I1oV_STSDYn1IFDPWt_1FKiwhDph83XaGc0o0/edit?usp=sharing"",""งบพรบ!DG16"")"),0)</f>
        <v>0</v>
      </c>
      <c r="O269" s="93">
        <f t="shared" ca="1" si="117"/>
        <v>0</v>
      </c>
      <c r="P269" s="93">
        <f t="shared" ca="1" si="118"/>
        <v>0</v>
      </c>
    </row>
    <row r="270" spans="1:1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1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IFERROR(__xludf.DUMMYFUNCTION("IMPORTRANGE(""https://docs.google.com/spreadsheets/d/1QqKyyYR6Q21VydFLVH3TRQUabQu_ym0Zz7PgGX0-kHA/edit?usp=sharing"",""แผน!EA16"")"),26)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1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1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1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1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1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1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39818</v>
      </c>
      <c r="O277" s="155">
        <f t="shared" ref="O277:O285" ca="1" si="126">IF(L277&gt;0,N277*100/L277,0)</f>
        <v>35.64407841733059</v>
      </c>
      <c r="P277" s="155">
        <f t="shared" ref="P277:P285" ca="1" si="127">IF(M277&gt;0,N277*100/M277,0)</f>
        <v>73.02035576746745</v>
      </c>
    </row>
    <row r="278" spans="1:1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</row>
    <row r="279" spans="1:1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39818</v>
      </c>
      <c r="O279" s="93">
        <f t="shared" ca="1" si="126"/>
        <v>35.64407841733059</v>
      </c>
      <c r="P279" s="93">
        <f t="shared" ca="1" si="127"/>
        <v>73.02035576746745</v>
      </c>
    </row>
    <row r="280" spans="1:1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111710</v>
      </c>
      <c r="M280" s="466">
        <f t="shared" ca="1" si="129"/>
        <v>54530</v>
      </c>
      <c r="N280" s="466">
        <f t="shared" ca="1" si="129"/>
        <v>39818</v>
      </c>
      <c r="O280" s="466">
        <f t="shared" ca="1" si="126"/>
        <v>35.64407841733059</v>
      </c>
      <c r="P280" s="466">
        <f t="shared" ca="1" si="127"/>
        <v>73.02035576746745</v>
      </c>
    </row>
    <row r="281" spans="1:1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</row>
    <row r="282" spans="1:1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IFERROR(__xludf.DUMMYFUNCTION("IMPORTRANGE(""https://docs.google.com/spreadsheets/d/1MeEWN-I1oV_STSDYn1IFDPWt_1FKiwhDph83XaGc0o0/edit?usp=sharing"",""งบพรบ!DI16"")"),111710)</f>
        <v>111710</v>
      </c>
      <c r="M282" s="93">
        <f ca="1">IFERROR(__xludf.DUMMYFUNCTION("IMPORTRANGE(""https://docs.google.com/spreadsheets/d/1MeEWN-I1oV_STSDYn1IFDPWt_1FKiwhDph83XaGc0o0/edit?usp=sharing"",""งบพรบ!DN16"")"),54530)</f>
        <v>54530</v>
      </c>
      <c r="N282" s="93">
        <f ca="1">IFERROR(__xludf.DUMMYFUNCTION("IMPORTRANGE(""https://docs.google.com/spreadsheets/d/1MeEWN-I1oV_STSDYn1IFDPWt_1FKiwhDph83XaGc0o0/edit?usp=sharing"",""งบพรบ!DP16"")"),39818)</f>
        <v>39818</v>
      </c>
      <c r="O282" s="93">
        <f t="shared" ca="1" si="126"/>
        <v>35.64407841733059</v>
      </c>
      <c r="P282" s="93">
        <f t="shared" ca="1" si="127"/>
        <v>73.02035576746745</v>
      </c>
    </row>
    <row r="283" spans="1:1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</row>
    <row r="284" spans="1:1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</row>
    <row r="285" spans="1:1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IFERROR(__xludf.DUMMYFUNCTION("IMPORTRANGE(""https://docs.google.com/spreadsheets/d/1MeEWN-I1oV_STSDYn1IFDPWt_1FKiwhDph83XaGc0o0/edit?usp=sharing"",""งบพรบ!DL16"")"),0)</f>
        <v>0</v>
      </c>
      <c r="M285" s="93">
        <f ca="1">IFERROR(__xludf.DUMMYFUNCTION("IMPORTRANGE(""https://docs.google.com/spreadsheets/d/1MeEWN-I1oV_STSDYn1IFDPWt_1FKiwhDph83XaGc0o0/edit?usp=sharing"",""งบพรบ!DO16"")"),0)</f>
        <v>0</v>
      </c>
      <c r="N285" s="93">
        <f ca="1">IFERROR(__xludf.DUMMYFUNCTION("IMPORTRANGE(""https://docs.google.com/spreadsheets/d/1MeEWN-I1oV_STSDYn1IFDPWt_1FKiwhDph83XaGc0o0/edit?usp=sharing"",""งบพรบ!DQ16"")"),0)</f>
        <v>0</v>
      </c>
      <c r="O285" s="93">
        <f t="shared" ca="1" si="126"/>
        <v>0</v>
      </c>
      <c r="P285" s="93">
        <f t="shared" ca="1" si="127"/>
        <v>0</v>
      </c>
    </row>
    <row r="286" spans="1:1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1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IFERROR(__xludf.DUMMYFUNCTION("IMPORTRANGE(""https://docs.google.com/spreadsheets/d/1QqKyyYR6Q21VydFLVH3TRQUabQu_ym0Zz7PgGX0-kHA/edit?usp=sharing"",""แผน!EC16"")"),300)</f>
        <v>300</v>
      </c>
      <c r="J287" s="215"/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1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IFERROR(__xludf.DUMMYFUNCTION("IMPORTRANGE(""https://docs.google.com/spreadsheets/d/1QqKyyYR6Q21VydFLVH3TRQUabQu_ym0Zz7PgGX0-kHA/edit?usp=sharing"",""แผน!EB16"")"),30)</f>
        <v>30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1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1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1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1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1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IFERROR(__xludf.DUMMYFUNCTION("IMPORTRANGE(""https://docs.google.com/spreadsheets/d/1QqKyyYR6Q21VydFLVH3TRQUabQu_ym0Zz7PgGX0-kHA/edit?usp=sharing"",""แผน!EB16"")"),30)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1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IFERROR(__xludf.DUMMYFUNCTION("IMPORTRANGE(""https://docs.google.com/spreadsheets/d/1QqKyyYR6Q21VydFLVH3TRQUabQu_ym0Zz7PgGX0-kHA/edit?usp=sharing"",""แผน!EB16"")"),30)</f>
        <v>30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1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1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1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1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114120</v>
      </c>
      <c r="N298" s="155">
        <f t="shared" ca="1" si="135"/>
        <v>76172.45</v>
      </c>
      <c r="O298" s="155">
        <f t="shared" ref="O298:O306" ca="1" si="136">IF(L298&gt;0,N298*100/L298,0)</f>
        <v>33.794343389529722</v>
      </c>
      <c r="P298" s="155">
        <f t="shared" ref="P298:P306" ca="1" si="137">IF(M298&gt;0,N298*100/M298,0)</f>
        <v>66.747677882930248</v>
      </c>
    </row>
    <row r="299" spans="1:1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</row>
    <row r="300" spans="1:1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225400</v>
      </c>
      <c r="M300" s="93">
        <f t="shared" ca="1" si="138"/>
        <v>114120</v>
      </c>
      <c r="N300" s="93">
        <f t="shared" ca="1" si="138"/>
        <v>76172.45</v>
      </c>
      <c r="O300" s="93">
        <f t="shared" ca="1" si="136"/>
        <v>33.794343389529722</v>
      </c>
      <c r="P300" s="93">
        <f t="shared" ca="1" si="137"/>
        <v>66.747677882930248</v>
      </c>
    </row>
    <row r="301" spans="1:1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114120</v>
      </c>
      <c r="N301" s="466">
        <f t="shared" ca="1" si="139"/>
        <v>76172.45</v>
      </c>
      <c r="O301" s="466">
        <f t="shared" ca="1" si="136"/>
        <v>33.794343389529722</v>
      </c>
      <c r="P301" s="466">
        <f t="shared" ca="1" si="137"/>
        <v>66.747677882930248</v>
      </c>
    </row>
    <row r="302" spans="1:1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</row>
    <row r="303" spans="1:1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IFERROR(__xludf.DUMMYFUNCTION("IMPORTRANGE(""https://docs.google.com/spreadsheets/d/1MeEWN-I1oV_STSDYn1IFDPWt_1FKiwhDph83XaGc0o0/edit?usp=sharing"",""งบพรบ!DS16"")"),225400)</f>
        <v>225400</v>
      </c>
      <c r="M303" s="93">
        <f ca="1">IFERROR(__xludf.DUMMYFUNCTION("IMPORTRANGE(""https://docs.google.com/spreadsheets/d/1MeEWN-I1oV_STSDYn1IFDPWt_1FKiwhDph83XaGc0o0/edit?usp=sharing"",""งบพรบ!DX16"")"),114120)</f>
        <v>114120</v>
      </c>
      <c r="N303" s="93">
        <f ca="1">IFERROR(__xludf.DUMMYFUNCTION("IMPORTRANGE(""https://docs.google.com/spreadsheets/d/1MeEWN-I1oV_STSDYn1IFDPWt_1FKiwhDph83XaGc0o0/edit?usp=sharing"",""งบพรบ!DZ16"")"),76172.45)</f>
        <v>76172.45</v>
      </c>
      <c r="O303" s="93">
        <f t="shared" ca="1" si="136"/>
        <v>33.794343389529722</v>
      </c>
      <c r="P303" s="93">
        <f t="shared" ca="1" si="137"/>
        <v>66.747677882930248</v>
      </c>
    </row>
    <row r="304" spans="1:1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</row>
    <row r="305" spans="1:1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</row>
    <row r="306" spans="1:1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IFERROR(__xludf.DUMMYFUNCTION("IMPORTRANGE(""https://docs.google.com/spreadsheets/d/1MeEWN-I1oV_STSDYn1IFDPWt_1FKiwhDph83XaGc0o0/edit?usp=sharing"",""งบพรบ!DV16"")"),0)</f>
        <v>0</v>
      </c>
      <c r="M306" s="93">
        <f ca="1">IFERROR(__xludf.DUMMYFUNCTION("IMPORTRANGE(""https://docs.google.com/spreadsheets/d/1MeEWN-I1oV_STSDYn1IFDPWt_1FKiwhDph83XaGc0o0/edit?usp=sharing"",""งบพรบ!DY16"")"),0)</f>
        <v>0</v>
      </c>
      <c r="N306" s="93">
        <f ca="1">IFERROR(__xludf.DUMMYFUNCTION("IMPORTRANGE(""https://docs.google.com/spreadsheets/d/1MeEWN-I1oV_STSDYn1IFDPWt_1FKiwhDph83XaGc0o0/edit?usp=sharing"",""งบพรบ!EA16"")"),0)</f>
        <v>0</v>
      </c>
      <c r="O306" s="93">
        <f t="shared" ca="1" si="136"/>
        <v>0</v>
      </c>
      <c r="P306" s="93">
        <f t="shared" ca="1" si="137"/>
        <v>0</v>
      </c>
    </row>
    <row r="307" spans="1:1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1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1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IFERROR(__xludf.DUMMYFUNCTION("IMPORTRANGE(""https://docs.google.com/spreadsheets/d/1QqKyyYR6Q21VydFLVH3TRQUabQu_ym0Zz7PgGX0-kHA/edit?usp=sharing"",""แผน!ED16"")"),20)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1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IFERROR(__xludf.DUMMYFUNCTION("IMPORTRANGE(""https://docs.google.com/spreadsheets/d/1QqKyyYR6Q21VydFLVH3TRQUabQu_ym0Zz7PgGX0-kHA/edit?usp=sharing"",""แผน!ED16"")"),20)</f>
        <v>20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1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IFERROR(__xludf.DUMMYFUNCTION("IMPORTRANGE(""https://docs.google.com/spreadsheets/d/1QqKyyYR6Q21VydFLVH3TRQUabQu_ym0Zz7PgGX0-kHA/edit?usp=sharing"",""แผน!ED16"")"),20)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1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IFERROR(__xludf.DUMMYFUNCTION("IMPORTRANGE(""https://docs.google.com/spreadsheets/d/1QqKyyYR6Q21VydFLVH3TRQUabQu_ym0Zz7PgGX0-kHA/edit?usp=sharing"",""แผน!EE16"")"),4)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1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1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16" ht="19.5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10000</v>
      </c>
      <c r="M315" s="155">
        <f t="shared" ca="1" si="143"/>
        <v>5000</v>
      </c>
      <c r="N315" s="155">
        <f t="shared" ca="1" si="143"/>
        <v>700</v>
      </c>
      <c r="O315" s="155">
        <f t="shared" ref="O315:O323" ca="1" si="144">IF(L315&gt;0,N315*100/L315,0)</f>
        <v>7</v>
      </c>
      <c r="P315" s="155">
        <f t="shared" ref="P315:P323" ca="1" si="145">IF(M315&gt;0,N315*100/M315,0)</f>
        <v>14</v>
      </c>
    </row>
    <row r="316" spans="1:1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</row>
    <row r="317" spans="1:1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10000</v>
      </c>
      <c r="M317" s="93">
        <f t="shared" ca="1" si="146"/>
        <v>5000</v>
      </c>
      <c r="N317" s="93">
        <f t="shared" ca="1" si="146"/>
        <v>700</v>
      </c>
      <c r="O317" s="93">
        <f t="shared" ca="1" si="144"/>
        <v>7</v>
      </c>
      <c r="P317" s="93">
        <f t="shared" ca="1" si="145"/>
        <v>14</v>
      </c>
    </row>
    <row r="318" spans="1:16" ht="18.75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10000</v>
      </c>
      <c r="M318" s="466">
        <f t="shared" ca="1" si="147"/>
        <v>5000</v>
      </c>
      <c r="N318" s="466">
        <f t="shared" ca="1" si="147"/>
        <v>700</v>
      </c>
      <c r="O318" s="466">
        <f t="shared" ca="1" si="144"/>
        <v>7</v>
      </c>
      <c r="P318" s="466">
        <f t="shared" ca="1" si="145"/>
        <v>14</v>
      </c>
    </row>
    <row r="319" spans="1:1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</row>
    <row r="320" spans="1:1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IFERROR(__xludf.DUMMYFUNCTION("IMPORTRANGE(""https://docs.google.com/spreadsheets/d/1MeEWN-I1oV_STSDYn1IFDPWt_1FKiwhDph83XaGc0o0/edit?usp=sharing"",""งบพรบ!EC16"")"),10000)</f>
        <v>10000</v>
      </c>
      <c r="M320" s="93">
        <f ca="1">IFERROR(__xludf.DUMMYFUNCTION("IMPORTRANGE(""https://docs.google.com/spreadsheets/d/1MeEWN-I1oV_STSDYn1IFDPWt_1FKiwhDph83XaGc0o0/edit?usp=sharing"",""งบพรบ!EH16"")"),5000)</f>
        <v>5000</v>
      </c>
      <c r="N320" s="93">
        <f ca="1">IFERROR(__xludf.DUMMYFUNCTION("IMPORTRANGE(""https://docs.google.com/spreadsheets/d/1MeEWN-I1oV_STSDYn1IFDPWt_1FKiwhDph83XaGc0o0/edit?usp=sharing"",""งบพรบ!EJ16"")"),700)</f>
        <v>700</v>
      </c>
      <c r="O320" s="93">
        <f t="shared" ca="1" si="144"/>
        <v>7</v>
      </c>
      <c r="P320" s="93">
        <f t="shared" ca="1" si="145"/>
        <v>14</v>
      </c>
    </row>
    <row r="321" spans="1:1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</row>
    <row r="322" spans="1:1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</row>
    <row r="323" spans="1:1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IFERROR(__xludf.DUMMYFUNCTION("IMPORTRANGE(""https://docs.google.com/spreadsheets/d/1MeEWN-I1oV_STSDYn1IFDPWt_1FKiwhDph83XaGc0o0/edit?usp=sharing"",""งบพรบ!EF16"")"),0)</f>
        <v>0</v>
      </c>
      <c r="M323" s="93">
        <f ca="1">IFERROR(__xludf.DUMMYFUNCTION("IMPORTRANGE(""https://docs.google.com/spreadsheets/d/1MeEWN-I1oV_STSDYn1IFDPWt_1FKiwhDph83XaGc0o0/edit?usp=sharing"",""งบพรบ!EI16"")"),0)</f>
        <v>0</v>
      </c>
      <c r="N323" s="93">
        <f ca="1">IFERROR(__xludf.DUMMYFUNCTION("IMPORTRANGE(""https://docs.google.com/spreadsheets/d/1MeEWN-I1oV_STSDYn1IFDPWt_1FKiwhDph83XaGc0o0/edit?usp=sharing"",""งบพรบ!EK16"")"),0)</f>
        <v>0</v>
      </c>
      <c r="O323" s="93">
        <f t="shared" ca="1" si="144"/>
        <v>0</v>
      </c>
      <c r="P323" s="93">
        <f t="shared" ca="1" si="145"/>
        <v>0</v>
      </c>
    </row>
    <row r="324" spans="1:16" ht="19.5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16" ht="18.75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IFERROR(__xludf.DUMMYFUNCTION("IMPORTRANGE(""https://docs.google.com/spreadsheets/d/1QqKyyYR6Q21VydFLVH3TRQUabQu_ym0Zz7PgGX0-kHA/edit?usp=sharing"",""แผน!EF16"")"),1)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1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1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IFERROR(__xludf.DUMMYFUNCTION("IMPORTRANGE(""https://docs.google.com/spreadsheets/d/1QqKyyYR6Q21VydFLVH3TRQUabQu_ym0Zz7PgGX0-kHA/edit?usp=sharing"",""แผน!EG16"")"),900)</f>
        <v>900</v>
      </c>
      <c r="J327" s="413">
        <f ca="1">J338+J341+J342+J343</f>
        <v>791</v>
      </c>
      <c r="K327" s="414">
        <f ca="1">IF(I327&gt;0,J327*100/I327,0)</f>
        <v>87.888888888888886</v>
      </c>
      <c r="L327" s="415"/>
      <c r="M327" s="415"/>
      <c r="N327" s="415"/>
      <c r="O327" s="415"/>
      <c r="P327" s="415"/>
    </row>
    <row r="328" spans="1:1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651800</v>
      </c>
      <c r="M328" s="155">
        <f t="shared" ca="1" si="149"/>
        <v>325900</v>
      </c>
      <c r="N328" s="155">
        <f t="shared" ca="1" si="149"/>
        <v>165551.48000000001</v>
      </c>
      <c r="O328" s="155">
        <f t="shared" ref="O328:O336" ca="1" si="150">IF(L328&gt;0,N328*100/L328,0)</f>
        <v>25.399122430193312</v>
      </c>
      <c r="P328" s="155">
        <f t="shared" ref="P328:P336" ca="1" si="151">IF(M328&gt;0,N328*100/M328,0)</f>
        <v>50.798244860386625</v>
      </c>
    </row>
    <row r="329" spans="1:1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</row>
    <row r="330" spans="1:1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651800</v>
      </c>
      <c r="M330" s="93">
        <f t="shared" ca="1" si="152"/>
        <v>325900</v>
      </c>
      <c r="N330" s="93">
        <f t="shared" ca="1" si="152"/>
        <v>165551.48000000001</v>
      </c>
      <c r="O330" s="93">
        <f t="shared" ca="1" si="150"/>
        <v>25.399122430193312</v>
      </c>
      <c r="P330" s="93">
        <f t="shared" ca="1" si="151"/>
        <v>50.798244860386625</v>
      </c>
    </row>
    <row r="331" spans="1:1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651800</v>
      </c>
      <c r="M331" s="466">
        <f t="shared" ca="1" si="153"/>
        <v>325900</v>
      </c>
      <c r="N331" s="466">
        <f t="shared" ca="1" si="153"/>
        <v>165551.48000000001</v>
      </c>
      <c r="O331" s="466">
        <f t="shared" ca="1" si="150"/>
        <v>25.399122430193312</v>
      </c>
      <c r="P331" s="466">
        <f t="shared" ca="1" si="151"/>
        <v>50.798244860386625</v>
      </c>
    </row>
    <row r="332" spans="1:1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</row>
    <row r="333" spans="1:1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IFERROR(__xludf.DUMMYFUNCTION("IMPORTRANGE(""https://docs.google.com/spreadsheets/d/1MeEWN-I1oV_STSDYn1IFDPWt_1FKiwhDph83XaGc0o0/edit?usp=sharing"",""งบพรบ!EM16"")"),651800)</f>
        <v>651800</v>
      </c>
      <c r="M333" s="93">
        <f ca="1">IFERROR(__xludf.DUMMYFUNCTION("IMPORTRANGE(""https://docs.google.com/spreadsheets/d/1MeEWN-I1oV_STSDYn1IFDPWt_1FKiwhDph83XaGc0o0/edit?usp=sharing"",""งบพรบ!ER16"")"),325900)</f>
        <v>325900</v>
      </c>
      <c r="N333" s="93">
        <f ca="1">IFERROR(__xludf.DUMMYFUNCTION("IMPORTRANGE(""https://docs.google.com/spreadsheets/d/1MeEWN-I1oV_STSDYn1IFDPWt_1FKiwhDph83XaGc0o0/edit?usp=sharing"",""งบพรบ!ET16"")"),165551.48)</f>
        <v>165551.48000000001</v>
      </c>
      <c r="O333" s="93">
        <f t="shared" ca="1" si="150"/>
        <v>25.399122430193312</v>
      </c>
      <c r="P333" s="93">
        <f t="shared" ca="1" si="151"/>
        <v>50.798244860386625</v>
      </c>
    </row>
    <row r="334" spans="1:1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</row>
    <row r="335" spans="1:1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</row>
    <row r="336" spans="1:1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IFERROR(__xludf.DUMMYFUNCTION("IMPORTRANGE(""https://docs.google.com/spreadsheets/d/1MeEWN-I1oV_STSDYn1IFDPWt_1FKiwhDph83XaGc0o0/edit?usp=sharing"",""งบพรบ!EP16"")"),0)</f>
        <v>0</v>
      </c>
      <c r="M336" s="93">
        <f ca="1">IFERROR(__xludf.DUMMYFUNCTION("IMPORTRANGE(""https://docs.google.com/spreadsheets/d/1MeEWN-I1oV_STSDYn1IFDPWt_1FKiwhDph83XaGc0o0/edit?usp=sharing"",""งบพรบ!ES16"")"),0)</f>
        <v>0</v>
      </c>
      <c r="N336" s="93">
        <f ca="1">IFERROR(__xludf.DUMMYFUNCTION("IMPORTRANGE(""https://docs.google.com/spreadsheets/d/1MeEWN-I1oV_STSDYn1IFDPWt_1FKiwhDph83XaGc0o0/edit?usp=sharing"",""งบพรบ!EU16"")"),0)</f>
        <v>0</v>
      </c>
      <c r="O336" s="93">
        <f t="shared" ca="1" si="150"/>
        <v>0</v>
      </c>
      <c r="P336" s="93">
        <f t="shared" ca="1" si="151"/>
        <v>0</v>
      </c>
    </row>
    <row r="337" spans="1:1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1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IFERROR(__xludf.DUMMYFUNCTION("IMPORTRANGE(""https://docs.google.com/spreadsheets/d/1QqKyyYR6Q21VydFLVH3TRQUabQu_ym0Zz7PgGX0-kHA/edit?usp=sharing"",""แผน!EG16"")"),900)</f>
        <v>900</v>
      </c>
      <c r="J338" s="270">
        <f ca="1">IFERROR(__xludf.DUMMYFUNCTION("IMPORTRANGE(""https://docs.google.com/spreadsheets/d/1kVcqe37tkHyjCSG3S0O1AXqVkqjo8mSIZil3BcpIysc/edit?usp=sharing"",""ศูนย์!D16"")"),616)</f>
        <v>616</v>
      </c>
      <c r="K338" s="466">
        <f ca="1">IF(I338&gt;0,J338*100/I338,0)</f>
        <v>68.444444444444443</v>
      </c>
      <c r="L338" s="466"/>
      <c r="M338" s="466"/>
      <c r="N338" s="466"/>
      <c r="O338" s="466"/>
      <c r="P338" s="466"/>
    </row>
    <row r="339" spans="1:1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1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IFERROR(__xludf.DUMMYFUNCTION("IMPORTRANGE(""https://docs.google.com/spreadsheets/d/1QqKyyYR6Q21VydFLVH3TRQUabQu_ym0Zz7PgGX0-kHA/edit?usp=sharing"",""แผน!EH16"")"),4)</f>
        <v>4</v>
      </c>
      <c r="J340" s="270">
        <f ca="1">IFERROR(__xludf.DUMMYFUNCTION("IMPORTRANGE(""https://docs.google.com/spreadsheets/d/1kVcqe37tkHyjCSG3S0O1AXqVkqjo8mSIZil3BcpIysc/edit?usp=sharing"",""ศูนย์!E16"")"),2)</f>
        <v>2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1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IFERROR(__xludf.DUMMYFUNCTION("IMPORTRANGE(""https://docs.google.com/spreadsheets/d/1kVcqe37tkHyjCSG3S0O1AXqVkqjo8mSIZil3BcpIysc/edit?usp=sharing"",""ศูนย์!F16"")"),144)</f>
        <v>144</v>
      </c>
      <c r="K341" s="466"/>
      <c r="L341" s="466"/>
      <c r="M341" s="466"/>
      <c r="N341" s="466"/>
      <c r="O341" s="466"/>
      <c r="P341" s="466"/>
    </row>
    <row r="342" spans="1:1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IFERROR(__xludf.DUMMYFUNCTION("IMPORTRANGE(""https://docs.google.com/spreadsheets/d/1kVcqe37tkHyjCSG3S0O1AXqVkqjo8mSIZil3BcpIysc/edit?usp=sharing"",""ศูนย์!G16"")"),0)</f>
        <v>0</v>
      </c>
      <c r="K342" s="466"/>
      <c r="L342" s="466"/>
      <c r="M342" s="466"/>
      <c r="N342" s="466"/>
      <c r="O342" s="466"/>
      <c r="P342" s="466"/>
    </row>
    <row r="343" spans="1:1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IFERROR(__xludf.DUMMYFUNCTION("IMPORTRANGE(""https://docs.google.com/spreadsheets/d/1kVcqe37tkHyjCSG3S0O1AXqVkqjo8mSIZil3BcpIysc/edit?usp=sharing"",""ศูนย์!H16"")"),31)</f>
        <v>31</v>
      </c>
      <c r="K343" s="466"/>
      <c r="L343" s="466"/>
      <c r="M343" s="466"/>
      <c r="N343" s="466"/>
      <c r="O343" s="466"/>
      <c r="P343" s="466"/>
    </row>
    <row r="344" spans="1:1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1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422030</v>
      </c>
      <c r="M345" s="155">
        <f t="shared" ca="1" si="155"/>
        <v>252920</v>
      </c>
      <c r="N345" s="155">
        <f t="shared" ca="1" si="155"/>
        <v>133440</v>
      </c>
      <c r="O345" s="155">
        <f t="shared" ref="O345:O353" ca="1" si="156">IF(L345&gt;0,N345*100/L345,0)</f>
        <v>31.618605312418548</v>
      </c>
      <c r="P345" s="155">
        <f t="shared" ref="P345:P353" ca="1" si="157">IF(M345&gt;0,N345*100/M345,0)</f>
        <v>52.75976593389214</v>
      </c>
    </row>
    <row r="346" spans="1:1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</row>
    <row r="347" spans="1:1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422030</v>
      </c>
      <c r="M347" s="93">
        <f t="shared" ca="1" si="158"/>
        <v>252920</v>
      </c>
      <c r="N347" s="93">
        <f t="shared" ca="1" si="158"/>
        <v>133440</v>
      </c>
      <c r="O347" s="93">
        <f t="shared" ca="1" si="156"/>
        <v>31.618605312418548</v>
      </c>
      <c r="P347" s="93">
        <f t="shared" ca="1" si="157"/>
        <v>52.75976593389214</v>
      </c>
    </row>
    <row r="348" spans="1:1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338230</v>
      </c>
      <c r="M348" s="466">
        <f t="shared" ca="1" si="159"/>
        <v>169120</v>
      </c>
      <c r="N348" s="466">
        <f t="shared" ca="1" si="159"/>
        <v>49640</v>
      </c>
      <c r="O348" s="466">
        <f t="shared" ca="1" si="156"/>
        <v>14.676403630665524</v>
      </c>
      <c r="P348" s="466">
        <f t="shared" ca="1" si="157"/>
        <v>29.3519394512772</v>
      </c>
    </row>
    <row r="349" spans="1:1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</row>
    <row r="350" spans="1:1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IFERROR(__xludf.DUMMYFUNCTION("IMPORTRANGE(""https://docs.google.com/spreadsheets/d/1MeEWN-I1oV_STSDYn1IFDPWt_1FKiwhDph83XaGc0o0/edit?usp=sharing"",""งบพรบ!EW16"")"),338230)</f>
        <v>338230</v>
      </c>
      <c r="M350" s="93">
        <f ca="1">IFERROR(__xludf.DUMMYFUNCTION("IMPORTRANGE(""https://docs.google.com/spreadsheets/d/1MeEWN-I1oV_STSDYn1IFDPWt_1FKiwhDph83XaGc0o0/edit?usp=sharing"",""งบพรบ!FB16"")"),169120)</f>
        <v>169120</v>
      </c>
      <c r="N350" s="93">
        <f ca="1">IFERROR(__xludf.DUMMYFUNCTION("IMPORTRANGE(""https://docs.google.com/spreadsheets/d/1MeEWN-I1oV_STSDYn1IFDPWt_1FKiwhDph83XaGc0o0/edit?usp=sharing"",""งบพรบ!FD16"")"),49640)</f>
        <v>49640</v>
      </c>
      <c r="O350" s="93">
        <f t="shared" ca="1" si="156"/>
        <v>14.676403630665524</v>
      </c>
      <c r="P350" s="93">
        <f t="shared" ca="1" si="157"/>
        <v>29.3519394512772</v>
      </c>
    </row>
    <row r="351" spans="1:1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83800</v>
      </c>
      <c r="M351" s="466">
        <f t="shared" ca="1" si="160"/>
        <v>83800</v>
      </c>
      <c r="N351" s="466">
        <f t="shared" ca="1" si="160"/>
        <v>83800</v>
      </c>
      <c r="O351" s="466">
        <f t="shared" ca="1" si="156"/>
        <v>100</v>
      </c>
      <c r="P351" s="466">
        <f t="shared" ca="1" si="157"/>
        <v>100</v>
      </c>
    </row>
    <row r="352" spans="1:1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</row>
    <row r="353" spans="1:1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IFERROR(__xludf.DUMMYFUNCTION("IMPORTRANGE(""https://docs.google.com/spreadsheets/d/1MeEWN-I1oV_STSDYn1IFDPWt_1FKiwhDph83XaGc0o0/edit?usp=sharing"",""งบพรบ!EZ16"")"),83800)</f>
        <v>83800</v>
      </c>
      <c r="M353" s="93">
        <f ca="1">IFERROR(__xludf.DUMMYFUNCTION("IMPORTRANGE(""https://docs.google.com/spreadsheets/d/1MeEWN-I1oV_STSDYn1IFDPWt_1FKiwhDph83XaGc0o0/edit?usp=sharing"",""งบพรบ!FC16"")"),83800)</f>
        <v>83800</v>
      </c>
      <c r="N353" s="93">
        <f ca="1">IFERROR(__xludf.DUMMYFUNCTION("IMPORTRANGE(""https://docs.google.com/spreadsheets/d/1MeEWN-I1oV_STSDYn1IFDPWt_1FKiwhDph83XaGc0o0/edit?usp=sharing"",""งบพรบ!FE16"")"),83800)</f>
        <v>83800</v>
      </c>
      <c r="O353" s="93">
        <f t="shared" ca="1" si="156"/>
        <v>100</v>
      </c>
      <c r="P353" s="93">
        <f t="shared" ca="1" si="157"/>
        <v>100</v>
      </c>
    </row>
    <row r="354" spans="1:1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1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IFERROR(__xludf.DUMMYFUNCTION("IMPORTRANGE(""https://docs.google.com/spreadsheets/d/1QqKyyYR6Q21VydFLVH3TRQUabQu_ym0Zz7PgGX0-kHA/edit?usp=sharing"",""แผน!EP16"")"),110)</f>
        <v>110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1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1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1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IFERROR(__xludf.DUMMYFUNCTION("IMPORTRANGE(""https://docs.google.com/spreadsheets/d/1XWAQStnk-4SwqDmLtmXYiTMKHgktTP8We1SCoS47DrQ/edit?usp=sharing"",""จัดที่ดิน!W16"")"),12)</f>
        <v>12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1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IFERROR(__xludf.DUMMYFUNCTION("IMPORTRANGE(""https://docs.google.com/spreadsheets/d/1QqKyyYR6Q21VydFLVH3TRQUabQu_ym0Zz7PgGX0-kHA/edit?usp=sharing"",""แผน!EO16"")"),1100)</f>
        <v>1100</v>
      </c>
      <c r="J359" s="270">
        <f ca="1">IFERROR(__xludf.DUMMYFUNCTION("IMPORTRANGE(""https://docs.google.com/spreadsheets/d/1XWAQStnk-4SwqDmLtmXYiTMKHgktTP8We1SCoS47DrQ/edit?usp=sharing"",""จัดที่ดิน!X16"")"),143.79)</f>
        <v>143.79</v>
      </c>
      <c r="K359" s="466">
        <f t="shared" ca="1" si="161"/>
        <v>13.071818181818182</v>
      </c>
      <c r="L359" s="163"/>
      <c r="M359" s="163"/>
      <c r="N359" s="163"/>
      <c r="O359" s="163"/>
      <c r="P359" s="163"/>
    </row>
    <row r="360" spans="1:1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IFERROR(__xludf.DUMMYFUNCTION("IMPORTRANGE(""https://docs.google.com/spreadsheets/d/1QqKyyYR6Q21VydFLVH3TRQUabQu_ym0Zz7PgGX0-kHA/edit?usp=sharing"",""แผน!EP16"")"),110)</f>
        <v>110</v>
      </c>
      <c r="J360" s="270">
        <f ca="1">IFERROR(__xludf.DUMMYFUNCTION("IMPORTRANGE(""https://docs.google.com/spreadsheets/d/1XWAQStnk-4SwqDmLtmXYiTMKHgktTP8We1SCoS47DrQ/edit?usp=sharing"",""จัดที่ดิน!Y16"")"),8)</f>
        <v>8</v>
      </c>
      <c r="K360" s="466">
        <f t="shared" ca="1" si="161"/>
        <v>7.2727272727272725</v>
      </c>
      <c r="L360" s="163"/>
      <c r="M360" s="163"/>
      <c r="N360" s="163"/>
      <c r="O360" s="163"/>
      <c r="P360" s="163"/>
    </row>
    <row r="361" spans="1:1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IFERROR(__xludf.DUMMYFUNCTION("IMPORTRANGE(""https://docs.google.com/spreadsheets/d/1XWAQStnk-4SwqDmLtmXYiTMKHgktTP8We1SCoS47DrQ/edit?usp=sharing"",""จัดที่ดิน!Z16"")"),46.98)</f>
        <v>46.98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1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IFERROR(__xludf.DUMMYFUNCTION("IMPORTRANGE(""https://docs.google.com/spreadsheets/d/1QqKyyYR6Q21VydFLVH3TRQUabQu_ym0Zz7PgGX0-kHA/edit?usp=sharing"",""แผน!EP16"")"),110)</f>
        <v>110</v>
      </c>
      <c r="J362" s="270">
        <f ca="1">IFERROR(__xludf.DUMMYFUNCTION("IMPORTRANGE(""https://docs.google.com/spreadsheets/d/1XWAQStnk-4SwqDmLtmXYiTMKHgktTP8We1SCoS47DrQ/edit?usp=sharing"",""จัดที่ดิน!AA16"")"),0)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1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IFERROR(__xludf.DUMMYFUNCTION("IMPORTRANGE(""https://docs.google.com/spreadsheets/d/1XWAQStnk-4SwqDmLtmXYiTMKHgktTP8We1SCoS47DrQ/edit?usp=sharing"",""จัดที่ดิน!AB16"")"),0)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1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270</v>
      </c>
      <c r="J364" s="447">
        <f t="shared" ca="1" si="162"/>
        <v>0</v>
      </c>
      <c r="K364" s="448">
        <f t="shared" ca="1" si="161"/>
        <v>0</v>
      </c>
      <c r="L364" s="449"/>
      <c r="M364" s="449"/>
      <c r="N364" s="449"/>
      <c r="O364" s="449"/>
      <c r="P364" s="449"/>
    </row>
    <row r="365" spans="1:1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IFERROR(__xludf.DUMMYFUNCTION("IMPORTRANGE(""https://docs.google.com/spreadsheets/d/1QqKyyYR6Q21VydFLVH3TRQUabQu_ym0Zz7PgGX0-kHA/edit?usp=sharing"",""แผน!EJ16"")"),80)</f>
        <v>80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</row>
    <row r="366" spans="1:1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</row>
    <row r="367" spans="1:1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1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IFERROR(__xludf.DUMMYFUNCTION("IMPORTRANGE(""https://docs.google.com/spreadsheets/d/1XWAQStnk-4SwqDmLtmXYiTMKHgktTP8We1SCoS47DrQ/edit?usp=sharing"",""จัดที่ดิน!E16"")"),12)</f>
        <v>12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1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IFERROR(__xludf.DUMMYFUNCTION("IMPORTRANGE(""https://docs.google.com/spreadsheets/d/1QqKyyYR6Q21VydFLVH3TRQUabQu_ym0Zz7PgGX0-kHA/edit?usp=sharing"",""แผน!EI16"")"),800)</f>
        <v>800</v>
      </c>
      <c r="J369" s="270">
        <f ca="1">IFERROR(__xludf.DUMMYFUNCTION("IMPORTRANGE(""https://docs.google.com/spreadsheets/d/1XWAQStnk-4SwqDmLtmXYiTMKHgktTP8We1SCoS47DrQ/edit?usp=sharing"",""จัดที่ดิน!F16"")"),143.79)</f>
        <v>143.79</v>
      </c>
      <c r="K369" s="466">
        <f t="shared" ca="1" si="163"/>
        <v>17.973749999999999</v>
      </c>
      <c r="L369" s="163"/>
      <c r="M369" s="163"/>
      <c r="N369" s="163"/>
      <c r="O369" s="163"/>
      <c r="P369" s="163"/>
    </row>
    <row r="370" spans="1:1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IFERROR(__xludf.DUMMYFUNCTION("IMPORTRANGE(""https://docs.google.com/spreadsheets/d/1QqKyyYR6Q21VydFLVH3TRQUabQu_ym0Zz7PgGX0-kHA/edit?usp=sharing"",""แผน!EJ16"")"),80)</f>
        <v>80</v>
      </c>
      <c r="J370" s="270">
        <f ca="1">IFERROR(__xludf.DUMMYFUNCTION("IMPORTRANGE(""https://docs.google.com/spreadsheets/d/1XWAQStnk-4SwqDmLtmXYiTMKHgktTP8We1SCoS47DrQ/edit?usp=sharing"",""จัดที่ดิน!G16"")"),8)</f>
        <v>8</v>
      </c>
      <c r="K370" s="466">
        <f t="shared" ca="1" si="163"/>
        <v>10</v>
      </c>
      <c r="L370" s="163"/>
      <c r="M370" s="163"/>
      <c r="N370" s="163"/>
      <c r="O370" s="163"/>
      <c r="P370" s="163"/>
    </row>
    <row r="371" spans="1:1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IFERROR(__xludf.DUMMYFUNCTION("IMPORTRANGE(""https://docs.google.com/spreadsheets/d/1XWAQStnk-4SwqDmLtmXYiTMKHgktTP8We1SCoS47DrQ/edit?usp=sharing"",""จัดที่ดิน!H16"")"),46.98)</f>
        <v>46.98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1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IFERROR(__xludf.DUMMYFUNCTION("IMPORTRANGE(""https://docs.google.com/spreadsheets/d/1QqKyyYR6Q21VydFLVH3TRQUabQu_ym0Zz7PgGX0-kHA/edit?usp=sharing"",""แผน!EJ16"")"),80)</f>
        <v>80</v>
      </c>
      <c r="J372" s="270">
        <f ca="1">IFERROR(__xludf.DUMMYFUNCTION("IMPORTRANGE(""https://docs.google.com/spreadsheets/d/1XWAQStnk-4SwqDmLtmXYiTMKHgktTP8We1SCoS47DrQ/edit?usp=sharing"",""จัดที่ดิน!I16"")"),0)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1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IFERROR(__xludf.DUMMYFUNCTION("IMPORTRANGE(""https://docs.google.com/spreadsheets/d/1XWAQStnk-4SwqDmLtmXYiTMKHgktTP8We1SCoS47DrQ/edit?usp=sharing"",""จัดที่ดิน!J16"")"),0)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1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IFERROR(__xludf.DUMMYFUNCTION("IMPORTRANGE(""https://docs.google.com/spreadsheets/d/1QqKyyYR6Q21VydFLVH3TRQUabQu_ym0Zz7PgGX0-kHA/edit?usp=sharing"",""แผน!EU16"")"),190)</f>
        <v>190</v>
      </c>
      <c r="J374" s="459">
        <f ca="1">J381</f>
        <v>0</v>
      </c>
      <c r="K374" s="460">
        <f t="shared" ca="1" si="163"/>
        <v>0</v>
      </c>
      <c r="L374" s="461"/>
      <c r="M374" s="461"/>
      <c r="N374" s="461"/>
      <c r="O374" s="461"/>
      <c r="P374" s="461"/>
    </row>
    <row r="375" spans="1:1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</row>
    <row r="376" spans="1:1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1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IFERROR(__xludf.DUMMYFUNCTION("IMPORTRANGE(""https://docs.google.com/spreadsheets/d/1XWAQStnk-4SwqDmLtmXYiTMKHgktTP8We1SCoS47DrQ/edit?usp=sharing"",""จัดที่ดิน!AH16"")"),0)</f>
        <v>0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1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IFERROR(__xludf.DUMMYFUNCTION("IMPORTRANGE(""https://docs.google.com/spreadsheets/d/1QqKyyYR6Q21VydFLVH3TRQUabQu_ym0Zz7PgGX0-kHA/edit?usp=sharing"",""แผน!ET16"")"),300)</f>
        <v>300</v>
      </c>
      <c r="J378" s="270">
        <f ca="1">IFERROR(__xludf.DUMMYFUNCTION("IMPORTRANGE(""https://docs.google.com/spreadsheets/d/1XWAQStnk-4SwqDmLtmXYiTMKHgktTP8We1SCoS47DrQ/edit?usp=sharing"",""จัดที่ดิน!AI16"")"),0)</f>
        <v>0</v>
      </c>
      <c r="K378" s="466">
        <f t="shared" ca="1" si="164"/>
        <v>0</v>
      </c>
      <c r="L378" s="163"/>
      <c r="M378" s="163"/>
      <c r="N378" s="163"/>
      <c r="O378" s="163"/>
      <c r="P378" s="163"/>
    </row>
    <row r="379" spans="1:1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IFERROR(__xludf.DUMMYFUNCTION("IMPORTRANGE(""https://docs.google.com/spreadsheets/d/1QqKyyYR6Q21VydFLVH3TRQUabQu_ym0Zz7PgGX0-kHA/edit?usp=sharing"",""แผน!EU16"")"),190)</f>
        <v>190</v>
      </c>
      <c r="J379" s="270">
        <f ca="1">IFERROR(__xludf.DUMMYFUNCTION("IMPORTRANGE(""https://docs.google.com/spreadsheets/d/1XWAQStnk-4SwqDmLtmXYiTMKHgktTP8We1SCoS47DrQ/edit?usp=sharing"",""จัดที่ดิน!AJ16"")"),49)</f>
        <v>49</v>
      </c>
      <c r="K379" s="466">
        <f t="shared" ca="1" si="164"/>
        <v>25.789473684210527</v>
      </c>
      <c r="L379" s="163"/>
      <c r="M379" s="163"/>
      <c r="N379" s="163"/>
      <c r="O379" s="163"/>
      <c r="P379" s="163"/>
    </row>
    <row r="380" spans="1:1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IFERROR(__xludf.DUMMYFUNCTION("IMPORTRANGE(""https://docs.google.com/spreadsheets/d/1XWAQStnk-4SwqDmLtmXYiTMKHgktTP8We1SCoS47DrQ/edit?usp=sharing"",""จัดที่ดิน!AK16"")"),308.37)</f>
        <v>308.37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1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IFERROR(__xludf.DUMMYFUNCTION("IMPORTRANGE(""https://docs.google.com/spreadsheets/d/1QqKyyYR6Q21VydFLVH3TRQUabQu_ym0Zz7PgGX0-kHA/edit?usp=sharing"",""แผน!EU16"")"),190)</f>
        <v>190</v>
      </c>
      <c r="J381" s="270">
        <f ca="1">IFERROR(__xludf.DUMMYFUNCTION("IMPORTRANGE(""https://docs.google.com/spreadsheets/d/1XWAQStnk-4SwqDmLtmXYiTMKHgktTP8We1SCoS47DrQ/edit?usp=sharing"",""จัดที่ดิน!AL16"")"),0)</f>
        <v>0</v>
      </c>
      <c r="K381" s="466">
        <f t="shared" ca="1" si="164"/>
        <v>0</v>
      </c>
      <c r="L381" s="163"/>
      <c r="M381" s="163"/>
      <c r="N381" s="163"/>
      <c r="O381" s="163"/>
      <c r="P381" s="163"/>
    </row>
    <row r="382" spans="1:1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IFERROR(__xludf.DUMMYFUNCTION("IMPORTRANGE(""https://docs.google.com/spreadsheets/d/1XWAQStnk-4SwqDmLtmXYiTMKHgktTP8We1SCoS47DrQ/edit?usp=sharing"",""จัดที่ดิน!AM16"")"),0)</f>
        <v>0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1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1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1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IFERROR(__xludf.DUMMYFUNCTION("IMPORTRANGE(""https://docs.google.com/spreadsheets/d/1QqKyyYR6Q21VydFLVH3TRQUabQu_ym0Zz7PgGX0-kHA/edit?usp=sharing"",""แผน!EW16"")"),10)</f>
        <v>10</v>
      </c>
      <c r="J385" s="469">
        <f ca="1">IFERROR(__xludf.DUMMYFUNCTION("IMPORTRANGE(""https://docs.google.com/spreadsheets/d/1XWAQStnk-4SwqDmLtmXYiTMKHgktTP8We1SCoS47DrQ/edit?usp=sharing"",""จัดที่ดิน!AP16"")"),0)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1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1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1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1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</row>
    <row r="390" spans="1:1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</row>
    <row r="391" spans="1:1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</row>
    <row r="392" spans="1:1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</row>
    <row r="393" spans="1:1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</row>
    <row r="394" spans="1:1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IFERROR(__xludf.DUMMYFUNCTION("IMPORTRANGE(""https://docs.google.com/spreadsheets/d/1MeEWN-I1oV_STSDYn1IFDPWt_1FKiwhDph83XaGc0o0/edit?usp=sharing"",""งบพรบ!FG16"")"),0)</f>
        <v>0</v>
      </c>
      <c r="M394" s="93">
        <f ca="1">IFERROR(__xludf.DUMMYFUNCTION("IMPORTRANGE(""https://docs.google.com/spreadsheets/d/1MeEWN-I1oV_STSDYn1IFDPWt_1FKiwhDph83XaGc0o0/edit?usp=sharing"",""งบพรบ!FL16"")"),0)</f>
        <v>0</v>
      </c>
      <c r="N394" s="93">
        <f ca="1">IFERROR(__xludf.DUMMYFUNCTION("IMPORTRANGE(""https://docs.google.com/spreadsheets/d/1MeEWN-I1oV_STSDYn1IFDPWt_1FKiwhDph83XaGc0o0/edit?usp=sharing"",""งบพรบ!FN16"")"),0)</f>
        <v>0</v>
      </c>
      <c r="O394" s="93">
        <f t="shared" ca="1" si="167"/>
        <v>0</v>
      </c>
      <c r="P394" s="93">
        <f t="shared" ca="1" si="168"/>
        <v>0</v>
      </c>
    </row>
    <row r="395" spans="1:1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</row>
    <row r="396" spans="1:1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</row>
    <row r="397" spans="1:1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IFERROR(__xludf.DUMMYFUNCTION("IMPORTRANGE(""https://docs.google.com/spreadsheets/d/1MeEWN-I1oV_STSDYn1IFDPWt_1FKiwhDph83XaGc0o0/edit?usp=sharing"",""งบพรบ!FJ16"")"),0)</f>
        <v>0</v>
      </c>
      <c r="M397" s="93">
        <f ca="1">IFERROR(__xludf.DUMMYFUNCTION("IMPORTRANGE(""https://docs.google.com/spreadsheets/d/1MeEWN-I1oV_STSDYn1IFDPWt_1FKiwhDph83XaGc0o0/edit?usp=sharing"",""งบพรบ!FM16"")"),0)</f>
        <v>0</v>
      </c>
      <c r="N397" s="93">
        <f ca="1">IFERROR(__xludf.DUMMYFUNCTION("IMPORTRANGE(""https://docs.google.com/spreadsheets/d/1MeEWN-I1oV_STSDYn1IFDPWt_1FKiwhDph83XaGc0o0/edit?usp=sharing"",""งบพรบ!FO16"")"),0)</f>
        <v>0</v>
      </c>
      <c r="O397" s="93">
        <f t="shared" ca="1" si="167"/>
        <v>0</v>
      </c>
      <c r="P397" s="93">
        <f t="shared" ca="1" si="168"/>
        <v>0</v>
      </c>
    </row>
    <row r="398" spans="1:1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1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</row>
    <row r="400" spans="1:1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1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1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</row>
    <row r="403" spans="1:1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</row>
    <row r="404" spans="1:1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</row>
    <row r="405" spans="1:1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</row>
    <row r="406" spans="1:1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</row>
    <row r="407" spans="1:1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IFERROR(__xludf.DUMMYFUNCTION("IMPORTRANGE(""https://docs.google.com/spreadsheets/d/1MeEWN-I1oV_STSDYn1IFDPWt_1FKiwhDph83XaGc0o0/edit?usp=sharing"",""งบพรบ!FQ16"")"),0)</f>
        <v>0</v>
      </c>
      <c r="M407" s="93">
        <f ca="1">IFERROR(__xludf.DUMMYFUNCTION("IMPORTRANGE(""https://docs.google.com/spreadsheets/d/1MeEWN-I1oV_STSDYn1IFDPWt_1FKiwhDph83XaGc0o0/edit?usp=sharing"",""งบพรบ!FV16"")"),0)</f>
        <v>0</v>
      </c>
      <c r="N407" s="93">
        <f ca="1">IFERROR(__xludf.DUMMYFUNCTION("IMPORTRANGE(""https://docs.google.com/spreadsheets/d/1MeEWN-I1oV_STSDYn1IFDPWt_1FKiwhDph83XaGc0o0/edit?usp=sharing"",""งบพรบ!FX16"")"),0)</f>
        <v>0</v>
      </c>
      <c r="O407" s="93">
        <f t="shared" ca="1" si="175"/>
        <v>0</v>
      </c>
      <c r="P407" s="93">
        <f t="shared" ca="1" si="176"/>
        <v>0</v>
      </c>
    </row>
    <row r="408" spans="1:1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</row>
    <row r="409" spans="1:1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</row>
    <row r="410" spans="1:1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IFERROR(__xludf.DUMMYFUNCTION("IMPORTRANGE(""https://docs.google.com/spreadsheets/d/1MeEWN-I1oV_STSDYn1IFDPWt_1FKiwhDph83XaGc0o0/edit?usp=sharing"",""งบพรบ!FT16"")"),0)</f>
        <v>0</v>
      </c>
      <c r="M410" s="93">
        <f ca="1">IFERROR(__xludf.DUMMYFUNCTION("IMPORTRANGE(""https://docs.google.com/spreadsheets/d/1MeEWN-I1oV_STSDYn1IFDPWt_1FKiwhDph83XaGc0o0/edit?usp=sharing"",""งบพรบ!FW16"")"),0)</f>
        <v>0</v>
      </c>
      <c r="N410" s="93">
        <f ca="1">IFERROR(__xludf.DUMMYFUNCTION("IMPORTRANGE(""https://docs.google.com/spreadsheets/d/1MeEWN-I1oV_STSDYn1IFDPWt_1FKiwhDph83XaGc0o0/edit?usp=sharing"",""งบพรบ!FY16"")"),0)</f>
        <v>0</v>
      </c>
      <c r="O410" s="93">
        <f t="shared" ca="1" si="175"/>
        <v>0</v>
      </c>
      <c r="P410" s="93">
        <f t="shared" ca="1" si="176"/>
        <v>0</v>
      </c>
    </row>
    <row r="411" spans="1:1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1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1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1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2313930</v>
      </c>
      <c r="M414" s="517">
        <f t="shared" si="181"/>
        <v>0</v>
      </c>
      <c r="N414" s="517">
        <f t="shared" si="181"/>
        <v>336320.63</v>
      </c>
      <c r="O414" s="517">
        <f ca="1">IF(L414&gt;0,N414*100/L414,0)</f>
        <v>14.534606924150687</v>
      </c>
      <c r="P414" s="517">
        <f>IF(M414&gt;0,N414*100/M414,0)</f>
        <v>0</v>
      </c>
    </row>
    <row r="415" spans="1:1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1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1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1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1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59263</v>
      </c>
      <c r="O419" s="155">
        <f t="shared" ref="O419:O424" ca="1" si="185">IF(L419&gt;0,N419*100/L419,0)</f>
        <v>75.340706839562671</v>
      </c>
      <c r="P419" s="155">
        <f t="shared" ref="P419:P424" si="186">IF(M419&gt;0,N419*100/M419,0)</f>
        <v>0</v>
      </c>
    </row>
    <row r="420" spans="1:1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</row>
    <row r="421" spans="1:1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59263</v>
      </c>
      <c r="O421" s="93">
        <f t="shared" ca="1" si="185"/>
        <v>75.340706839562671</v>
      </c>
      <c r="P421" s="93">
        <f t="shared" si="186"/>
        <v>0</v>
      </c>
    </row>
    <row r="422" spans="1:1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59263</v>
      </c>
      <c r="O422" s="466">
        <f t="shared" ca="1" si="185"/>
        <v>75.340706839562671</v>
      </c>
      <c r="P422" s="466">
        <f t="shared" si="186"/>
        <v>0</v>
      </c>
    </row>
    <row r="423" spans="1:1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</row>
    <row r="424" spans="1:1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IFERROR(__xludf.DUMMYFUNCTION("IMPORTRANGE(""https://docs.google.com/spreadsheets/d/1QqKyyYR6Q21VydFLVH3TRQUabQu_ym0Zz7PgGX0-kHA/edit?usp=sharing"",""แผน!EY16"")"),78660)</f>
        <v>78660</v>
      </c>
      <c r="M424" s="93">
        <v>0</v>
      </c>
      <c r="N424" s="93">
        <f>N425+N426+N427+N428</f>
        <v>59263</v>
      </c>
      <c r="O424" s="93">
        <f t="shared" ca="1" si="185"/>
        <v>75.340706839562671</v>
      </c>
      <c r="P424" s="93">
        <f t="shared" si="186"/>
        <v>0</v>
      </c>
    </row>
    <row r="425" spans="1:1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f>17080+28960+300+2060</f>
        <v>48400</v>
      </c>
      <c r="O425" s="466"/>
      <c r="P425" s="466"/>
    </row>
    <row r="426" spans="1:1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</row>
    <row r="427" spans="1:1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</row>
    <row r="428" spans="1:1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f>8183+1440+1240</f>
        <v>10863</v>
      </c>
      <c r="O428" s="466"/>
      <c r="P428" s="466"/>
    </row>
    <row r="429" spans="1:1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</row>
    <row r="430" spans="1:1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</row>
    <row r="431" spans="1:1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</row>
    <row r="432" spans="1:1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</row>
    <row r="433" spans="1:1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</row>
    <row r="434" spans="1:1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1</v>
      </c>
      <c r="J434" s="647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</row>
    <row r="435" spans="1:1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IFERROR(__xludf.DUMMYFUNCTION("IMPORTRANGE(""https://docs.google.com/spreadsheets/d/1QqKyyYR6Q21VydFLVH3TRQUabQu_ym0Zz7PgGX0-kHA/edit?usp=sharing"",""แผน!FC16"")"),20)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</row>
    <row r="436" spans="1:1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</row>
    <row r="437" spans="1:1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IFERROR(__xludf.DUMMYFUNCTION("IMPORTRANGE(""https://docs.google.com/spreadsheets/d/1QqKyyYR6Q21VydFLVH3TRQUabQu_ym0Zz7PgGX0-kHA/edit?usp=sharing"",""แผน!FD16"")"),0)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</row>
    <row r="438" spans="1:1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IFERROR(__xludf.DUMMYFUNCTION("IMPORTRANGE(""https://docs.google.com/spreadsheets/d/1QqKyyYR6Q21VydFLVH3TRQUabQu_ym0Zz7PgGX0-kHA/edit?usp=sharing"",""แผน!FE16"")"),0)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</row>
    <row r="439" spans="1:1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IFERROR(__xludf.DUMMYFUNCTION("IMPORTRANGE(""https://docs.google.com/spreadsheets/d/1QqKyyYR6Q21VydFLVH3TRQUabQu_ym0Zz7PgGX0-kHA/edit?usp=sharing"",""แผน!FF16"")"),20)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</row>
    <row r="440" spans="1:1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</row>
    <row r="441" spans="1:1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</row>
    <row r="442" spans="1:1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40</v>
      </c>
      <c r="J442" s="555">
        <f t="shared" si="195"/>
        <v>20</v>
      </c>
      <c r="K442" s="556">
        <f t="shared" ca="1" si="194"/>
        <v>50</v>
      </c>
      <c r="L442" s="557"/>
      <c r="M442" s="557"/>
      <c r="N442" s="557"/>
      <c r="O442" s="557"/>
      <c r="P442" s="557"/>
    </row>
    <row r="443" spans="1:1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80</v>
      </c>
      <c r="J443" s="533">
        <f t="shared" si="196"/>
        <v>50</v>
      </c>
      <c r="K443" s="534">
        <f t="shared" ca="1" si="194"/>
        <v>62.5</v>
      </c>
      <c r="L443" s="535"/>
      <c r="M443" s="535"/>
      <c r="N443" s="535"/>
      <c r="O443" s="535"/>
      <c r="P443" s="535"/>
    </row>
    <row r="444" spans="1:1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319880</v>
      </c>
      <c r="M444" s="195">
        <f t="shared" si="197"/>
        <v>0</v>
      </c>
      <c r="N444" s="195">
        <f t="shared" si="197"/>
        <v>69830</v>
      </c>
      <c r="O444" s="195">
        <f t="shared" ref="O444:O449" ca="1" si="198">IF(L444&gt;0,N444*100/L444,0)</f>
        <v>21.830061272977368</v>
      </c>
      <c r="P444" s="195">
        <f t="shared" ref="P444:P449" si="199">IF(M444&gt;0,N444*100/M444,0)</f>
        <v>0</v>
      </c>
    </row>
    <row r="445" spans="1:1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</row>
    <row r="446" spans="1:1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319880</v>
      </c>
      <c r="M446" s="93">
        <f t="shared" si="200"/>
        <v>0</v>
      </c>
      <c r="N446" s="93">
        <f t="shared" si="200"/>
        <v>69830</v>
      </c>
      <c r="O446" s="93">
        <f t="shared" ca="1" si="198"/>
        <v>21.830061272977368</v>
      </c>
      <c r="P446" s="93">
        <f t="shared" si="199"/>
        <v>0</v>
      </c>
    </row>
    <row r="447" spans="1:1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319880</v>
      </c>
      <c r="M447" s="466">
        <f t="shared" si="201"/>
        <v>0</v>
      </c>
      <c r="N447" s="466">
        <f t="shared" si="201"/>
        <v>69830</v>
      </c>
      <c r="O447" s="466">
        <f t="shared" ca="1" si="198"/>
        <v>21.830061272977368</v>
      </c>
      <c r="P447" s="466">
        <f t="shared" si="199"/>
        <v>0</v>
      </c>
    </row>
    <row r="448" spans="1:1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</row>
    <row r="449" spans="1:1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IFERROR(__xludf.DUMMYFUNCTION("IMPORTRANGE(""https://docs.google.com/spreadsheets/d/1QqKyyYR6Q21VydFLVH3TRQUabQu_ym0Zz7PgGX0-kHA/edit?usp=sharing"",""แผน!FJ16"")"),319880)</f>
        <v>319880</v>
      </c>
      <c r="M449" s="93">
        <v>0</v>
      </c>
      <c r="N449" s="93">
        <f>N450+N451+N452+N453</f>
        <v>69830</v>
      </c>
      <c r="O449" s="93">
        <f t="shared" ca="1" si="198"/>
        <v>21.830061272977368</v>
      </c>
      <c r="P449" s="93">
        <f t="shared" si="199"/>
        <v>0</v>
      </c>
    </row>
    <row r="450" spans="1:1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f>22120+300+4780</f>
        <v>27200</v>
      </c>
      <c r="O450" s="466"/>
      <c r="P450" s="466"/>
    </row>
    <row r="451" spans="1:1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</row>
    <row r="452" spans="1:1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f>26000+13000</f>
        <v>39000</v>
      </c>
      <c r="O452" s="466"/>
      <c r="P452" s="466"/>
    </row>
    <row r="453" spans="1:1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f>2150+1480</f>
        <v>3630</v>
      </c>
      <c r="O453" s="466"/>
      <c r="P453" s="466"/>
    </row>
    <row r="454" spans="1:1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</row>
    <row r="455" spans="1:1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</row>
    <row r="456" spans="1:1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</row>
    <row r="457" spans="1:1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</row>
    <row r="458" spans="1:1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</row>
    <row r="459" spans="1:1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</row>
    <row r="460" spans="1:1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IFERROR(__xludf.DUMMYFUNCTION("IMPORTRANGE(""https://docs.google.com/spreadsheets/d/1QqKyyYR6Q21VydFLVH3TRQUabQu_ym0Zz7PgGX0-kHA/edit?usp=sharing"",""แผน!FN16"")"),40)</f>
        <v>40</v>
      </c>
      <c r="J460" s="215">
        <v>20</v>
      </c>
      <c r="K460" s="466">
        <f ca="1">IF(I460&gt;0,J460*100/I460,0)</f>
        <v>50</v>
      </c>
      <c r="L460" s="466"/>
      <c r="M460" s="466"/>
      <c r="N460" s="466"/>
      <c r="O460" s="466"/>
      <c r="P460" s="466"/>
    </row>
    <row r="461" spans="1:1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</row>
    <row r="462" spans="1:1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IFERROR(__xludf.DUMMYFUNCTION("IMPORTRANGE(""https://docs.google.com/spreadsheets/d/1QqKyyYR6Q21VydFLVH3TRQUabQu_ym0Zz7PgGX0-kHA/edit?usp=sharing"",""แผน!FO16"")"),80)</f>
        <v>80</v>
      </c>
      <c r="J462" s="215">
        <v>50</v>
      </c>
      <c r="K462" s="466">
        <f ca="1">IF(I462&gt;0,J462*100/I462,0)</f>
        <v>62.5</v>
      </c>
      <c r="L462" s="466"/>
      <c r="M462" s="466"/>
      <c r="N462" s="466"/>
      <c r="O462" s="466"/>
      <c r="P462" s="466"/>
    </row>
    <row r="463" spans="1:1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IFERROR(__xludf.DUMMYFUNCTION("IMPORTRANGE(""https://docs.google.com/spreadsheets/d/1QqKyyYR6Q21VydFLVH3TRQUabQu_ym0Zz7PgGX0-kHA/edit?usp=sharing"",""แผน!FO16"")"),80)</f>
        <v>80</v>
      </c>
      <c r="J463" s="215">
        <v>0</v>
      </c>
      <c r="K463" s="466"/>
      <c r="L463" s="466"/>
      <c r="M463" s="466"/>
      <c r="N463" s="466"/>
      <c r="O463" s="466"/>
      <c r="P463" s="466"/>
    </row>
    <row r="464" spans="1:1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IFERROR(__xludf.DUMMYFUNCTION("IMPORTRANGE(""https://docs.google.com/spreadsheets/d/1QqKyyYR6Q21VydFLVH3TRQUabQu_ym0Zz7PgGX0-kHA/edit?usp=sharing"",""แผน!FN16"")"),40)</f>
        <v>40</v>
      </c>
      <c r="J464" s="215">
        <v>0</v>
      </c>
      <c r="K464" s="466"/>
      <c r="L464" s="466"/>
      <c r="M464" s="466"/>
      <c r="N464" s="466"/>
      <c r="O464" s="466"/>
      <c r="P464" s="466"/>
    </row>
    <row r="465" spans="1:1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IFERROR(__xludf.DUMMYFUNCTION("IMPORTRANGE(""https://docs.google.com/spreadsheets/d/1QqKyyYR6Q21VydFLVH3TRQUabQu_ym0Zz7PgGX0-kHA/edit?usp=sharing"",""แผน!FX16"")"),131)</f>
        <v>131</v>
      </c>
      <c r="J465" s="555">
        <f>J485+J489+J492</f>
        <v>131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</row>
    <row r="466" spans="1:1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IFERROR(__xludf.DUMMYFUNCTION("IMPORTRANGE(""https://docs.google.com/spreadsheets/d/1QqKyyYR6Q21VydFLVH3TRQUabQu_ym0Zz7PgGX0-kHA/edit?usp=sharing"",""แผน!FW16"")"),1300)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</row>
    <row r="467" spans="1:1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1171728</v>
      </c>
      <c r="M467" s="195">
        <f t="shared" si="206"/>
        <v>0</v>
      </c>
      <c r="N467" s="195">
        <f t="shared" si="206"/>
        <v>147563</v>
      </c>
      <c r="O467" s="195">
        <f t="shared" ref="O467:O472" ca="1" si="207">IF(L467&gt;0,N467*100/L467,0)</f>
        <v>12.59362241066186</v>
      </c>
      <c r="P467" s="195">
        <f t="shared" ref="P467:P472" si="208">IF(M467&gt;0,N467*100/M467,0)</f>
        <v>0</v>
      </c>
    </row>
    <row r="468" spans="1:1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</row>
    <row r="469" spans="1:1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1171728</v>
      </c>
      <c r="M469" s="93">
        <f t="shared" si="209"/>
        <v>0</v>
      </c>
      <c r="N469" s="93">
        <f t="shared" si="209"/>
        <v>147563</v>
      </c>
      <c r="O469" s="93">
        <f t="shared" ca="1" si="207"/>
        <v>12.59362241066186</v>
      </c>
      <c r="P469" s="93">
        <f t="shared" si="208"/>
        <v>0</v>
      </c>
    </row>
    <row r="470" spans="1:1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1171728</v>
      </c>
      <c r="M470" s="466">
        <f t="shared" si="210"/>
        <v>0</v>
      </c>
      <c r="N470" s="466">
        <f t="shared" si="210"/>
        <v>147563</v>
      </c>
      <c r="O470" s="466">
        <f t="shared" ca="1" si="207"/>
        <v>12.59362241066186</v>
      </c>
      <c r="P470" s="466">
        <f t="shared" si="208"/>
        <v>0</v>
      </c>
    </row>
    <row r="471" spans="1:1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</row>
    <row r="472" spans="1:1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IFERROR(__xludf.DUMMYFUNCTION("IMPORTRANGE(""https://docs.google.com/spreadsheets/d/1QqKyyYR6Q21VydFLVH3TRQUabQu_ym0Zz7PgGX0-kHA/edit?usp=sharing"",""แผน!FS16"")"),1171728)</f>
        <v>1171728</v>
      </c>
      <c r="M472" s="93">
        <v>0</v>
      </c>
      <c r="N472" s="93">
        <f>N473+N474+N475+N476</f>
        <v>147563</v>
      </c>
      <c r="O472" s="93">
        <f t="shared" ca="1" si="207"/>
        <v>12.59362241066186</v>
      </c>
      <c r="P472" s="93">
        <f t="shared" si="208"/>
        <v>0</v>
      </c>
    </row>
    <row r="473" spans="1:1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f>69014+7020+1080+8248+3981</f>
        <v>89343</v>
      </c>
      <c r="O473" s="466"/>
      <c r="P473" s="466"/>
    </row>
    <row r="474" spans="1:1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</row>
    <row r="475" spans="1:1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39000</v>
      </c>
      <c r="O475" s="466"/>
      <c r="P475" s="466"/>
    </row>
    <row r="476" spans="1:1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19220</v>
      </c>
      <c r="O476" s="466"/>
      <c r="P476" s="466"/>
    </row>
    <row r="477" spans="1:1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</row>
    <row r="478" spans="1:1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</row>
    <row r="479" spans="1:1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</row>
    <row r="480" spans="1:1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</row>
    <row r="481" spans="1:1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</row>
    <row r="482" spans="1:1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</row>
    <row r="483" spans="1:1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IFERROR(__xludf.DUMMYFUNCTION("IMPORTRANGE(""https://docs.google.com/spreadsheets/d/1QqKyyYR6Q21VydFLVH3TRQUabQu_ym0Zz7PgGX0-kHA/edit?usp=sharing"",""แผน!FY16"")"),1170)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</row>
    <row r="484" spans="1:1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125</v>
      </c>
      <c r="K484" s="466"/>
      <c r="L484" s="466"/>
      <c r="M484" s="466"/>
      <c r="N484" s="466"/>
      <c r="O484" s="466"/>
      <c r="P484" s="466"/>
    </row>
    <row r="485" spans="1:1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IFERROR(__xludf.DUMMYFUNCTION("IMPORTRANGE(""https://docs.google.com/spreadsheets/d/1QqKyyYR6Q21VydFLVH3TRQUabQu_ym0Zz7PgGX0-kHA/edit?usp=sharing"",""แผน!FZ16"")"),117)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</row>
    <row r="486" spans="1:1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</row>
    <row r="487" spans="1:1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IFERROR(__xludf.DUMMYFUNCTION("IMPORTRANGE(""https://docs.google.com/spreadsheets/d/1QqKyyYR6Q21VydFLVH3TRQUabQu_ym0Zz7PgGX0-kHA/edit?usp=sharing"",""แผน!GA16"")"),130)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</row>
    <row r="488" spans="1:1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25</v>
      </c>
      <c r="K488" s="466"/>
      <c r="L488" s="466"/>
      <c r="M488" s="466"/>
      <c r="N488" s="466"/>
      <c r="O488" s="466"/>
      <c r="P488" s="466"/>
    </row>
    <row r="489" spans="1:1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IFERROR(__xludf.DUMMYFUNCTION("IMPORTRANGE(""https://docs.google.com/spreadsheets/d/1QqKyyYR6Q21VydFLVH3TRQUabQu_ym0Zz7PgGX0-kHA/edit?usp=sharing"",""แผน!GB16"")"),13)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</row>
    <row r="490" spans="1:1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</row>
    <row r="491" spans="1:1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</row>
    <row r="492" spans="1:1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IFERROR(__xludf.DUMMYFUNCTION("IMPORTRANGE(""https://docs.google.com/spreadsheets/d/1QqKyyYR6Q21VydFLVH3TRQUabQu_ym0Zz7PgGX0-kHA/edit?usp=sharing"",""แผน!GC16"")"),1)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</row>
    <row r="493" spans="1:1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</row>
    <row r="494" spans="1:1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</row>
    <row r="495" spans="1:1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IFERROR(__xludf.DUMMYFUNCTION("IMPORTRANGE(""https://docs.google.com/spreadsheets/d/1QqKyyYR6Q21VydFLVH3TRQUabQu_ym0Zz7PgGX0-kHA/edit?usp=sharing"",""แผน!FY16"")"),1170)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</row>
    <row r="496" spans="1:1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</row>
    <row r="497" spans="1:1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</row>
    <row r="498" spans="1:1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IFERROR(__xludf.DUMMYFUNCTION("IMPORTRANGE(""https://docs.google.com/spreadsheets/d/1QqKyyYR6Q21VydFLVH3TRQUabQu_ym0Zz7PgGX0-kHA/edit?usp=sharing"",""แผน!GA16"")"),130)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</row>
    <row r="499" spans="1:1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</row>
    <row r="500" spans="1:1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</row>
    <row r="501" spans="1:1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</row>
    <row r="502" spans="1:1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</row>
    <row r="503" spans="1:1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</row>
    <row r="504" spans="1:1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</row>
    <row r="505" spans="1:1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</row>
    <row r="506" spans="1:1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</row>
    <row r="507" spans="1:1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</row>
    <row r="508" spans="1:1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</row>
    <row r="509" spans="1:1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</row>
    <row r="510" spans="1:1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</row>
    <row r="511" spans="1:1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</row>
    <row r="512" spans="1:1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</row>
    <row r="513" spans="1:1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</row>
    <row r="514" spans="1:1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</row>
    <row r="515" spans="1:1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</row>
    <row r="516" spans="1:1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</row>
    <row r="517" spans="1:1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</row>
    <row r="518" spans="1:1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</row>
    <row r="519" spans="1:1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</row>
    <row r="520" spans="1:1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1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</row>
    <row r="522" spans="1:1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</row>
    <row r="523" spans="1:1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</row>
    <row r="524" spans="1:1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</row>
    <row r="525" spans="1:1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</row>
    <row r="526" spans="1:1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</row>
    <row r="527" spans="1:1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</row>
    <row r="528" spans="1:1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</row>
    <row r="529" spans="1:1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</row>
    <row r="530" spans="1:1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</row>
    <row r="531" spans="1:1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</row>
    <row r="532" spans="1:1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</row>
    <row r="533" spans="1:1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</row>
    <row r="534" spans="1:1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</row>
    <row r="535" spans="1:1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</row>
    <row r="536" spans="1:1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</row>
    <row r="537" spans="1:1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IFERROR(__xludf.DUMMYFUNCTION("IMPORTRANGE(""https://docs.google.com/spreadsheets/d/1QqKyyYR6Q21VydFLVH3TRQUabQu_ym0Zz7PgGX0-kHA/edit?usp=sharing"",""แผน!GU16"")"),0)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</row>
    <row r="538" spans="1:1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</row>
    <row r="539" spans="1:1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</row>
    <row r="540" spans="1:1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</row>
    <row r="541" spans="1:1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</row>
    <row r="542" spans="1:1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</row>
    <row r="543" spans="1:1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7071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</row>
    <row r="544" spans="1:1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355427</v>
      </c>
      <c r="M544" s="155">
        <f t="shared" si="236"/>
        <v>0</v>
      </c>
      <c r="N544" s="155">
        <f t="shared" si="236"/>
        <v>52058.05</v>
      </c>
      <c r="O544" s="155">
        <f t="shared" ref="O544:O549" ca="1" si="237">IF(L544&gt;0,N544*100/L544,0)</f>
        <v>14.646622231850703</v>
      </c>
      <c r="P544" s="155">
        <f t="shared" ref="P544:P549" si="238">IF(M544&gt;0,N544*100/M544,0)</f>
        <v>0</v>
      </c>
    </row>
    <row r="545" spans="1:1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</row>
    <row r="546" spans="1:1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355427</v>
      </c>
      <c r="M546" s="93">
        <f t="shared" si="240"/>
        <v>0</v>
      </c>
      <c r="N546" s="93">
        <f t="shared" si="240"/>
        <v>52058.05</v>
      </c>
      <c r="O546" s="93">
        <f t="shared" ca="1" si="237"/>
        <v>14.646622231850703</v>
      </c>
      <c r="P546" s="93">
        <f t="shared" si="238"/>
        <v>0</v>
      </c>
    </row>
    <row r="547" spans="1:1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355427</v>
      </c>
      <c r="M547" s="466">
        <f t="shared" si="241"/>
        <v>0</v>
      </c>
      <c r="N547" s="466">
        <f t="shared" si="241"/>
        <v>52058.05</v>
      </c>
      <c r="O547" s="466">
        <f t="shared" ca="1" si="237"/>
        <v>14.646622231850703</v>
      </c>
      <c r="P547" s="466">
        <f t="shared" si="238"/>
        <v>0</v>
      </c>
    </row>
    <row r="548" spans="1:1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</row>
    <row r="549" spans="1:1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IFERROR(__xludf.DUMMYFUNCTION("IMPORTRANGE(""https://docs.google.com/spreadsheets/d/1QqKyyYR6Q21VydFLVH3TRQUabQu_ym0Zz7PgGX0-kHA/edit?usp=sharing"",""แผน!HB16"")"),355427)</f>
        <v>355427</v>
      </c>
      <c r="M549" s="93">
        <v>0</v>
      </c>
      <c r="N549" s="93">
        <f>N550+N551+N552+N553+N554</f>
        <v>52058.05</v>
      </c>
      <c r="O549" s="93">
        <f t="shared" ca="1" si="237"/>
        <v>14.646622231850703</v>
      </c>
      <c r="P549" s="93">
        <f t="shared" si="238"/>
        <v>0</v>
      </c>
    </row>
    <row r="550" spans="1:1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</row>
    <row r="551" spans="1:1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</row>
    <row r="552" spans="1:1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f>26000+9645.05</f>
        <v>35645.050000000003</v>
      </c>
      <c r="O552" s="466"/>
      <c r="P552" s="466"/>
    </row>
    <row r="553" spans="1:1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f>13733+2680</f>
        <v>16413</v>
      </c>
      <c r="O553" s="466"/>
      <c r="P553" s="466"/>
    </row>
    <row r="554" spans="1:1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</row>
    <row r="555" spans="1:1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</row>
    <row r="556" spans="1:1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</row>
    <row r="557" spans="1:1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</row>
    <row r="558" spans="1:1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</row>
    <row r="559" spans="1:1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7071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</row>
    <row r="560" spans="1:1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IFERROR(__xludf.DUMMYFUNCTION("IMPORTRANGE(""https://docs.google.com/spreadsheets/d/1QqKyyYR6Q21VydFLVH3TRQUabQu_ym0Zz7PgGX0-kHA/edit?usp=sharing"",""แผน!HH16"")"),7071)</f>
        <v>7071</v>
      </c>
      <c r="J560" s="193">
        <f t="shared" ref="J560:J561" si="247">J562+J564+J566</f>
        <v>7260.24</v>
      </c>
      <c r="K560" s="380">
        <f t="shared" ca="1" si="246"/>
        <v>102.67628341111582</v>
      </c>
      <c r="L560" s="163"/>
      <c r="M560" s="163"/>
      <c r="N560" s="163"/>
      <c r="O560" s="163"/>
      <c r="P560" s="163"/>
    </row>
    <row r="561" spans="1:1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IFERROR(__xludf.DUMMYFUNCTION("IMPORTRANGE(""https://docs.google.com/spreadsheets/d/1QqKyyYR6Q21VydFLVH3TRQUabQu_ym0Zz7PgGX0-kHA/edit?usp=sharing"",""แผน!HG16"")"),1982)</f>
        <v>1982</v>
      </c>
      <c r="J561" s="193">
        <f t="shared" si="247"/>
        <v>1982</v>
      </c>
      <c r="K561" s="380">
        <f t="shared" ca="1" si="246"/>
        <v>100</v>
      </c>
      <c r="L561" s="163"/>
      <c r="M561" s="163"/>
      <c r="N561" s="163"/>
      <c r="O561" s="163"/>
      <c r="P561" s="163"/>
    </row>
    <row r="562" spans="1:1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5930.36</v>
      </c>
      <c r="K562" s="163"/>
      <c r="L562" s="163"/>
      <c r="M562" s="163"/>
      <c r="N562" s="163"/>
      <c r="O562" s="163"/>
      <c r="P562" s="163"/>
    </row>
    <row r="563" spans="1:1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1657</v>
      </c>
      <c r="K563" s="163"/>
      <c r="L563" s="163"/>
      <c r="M563" s="163"/>
      <c r="N563" s="163"/>
      <c r="O563" s="163"/>
      <c r="P563" s="163"/>
    </row>
    <row r="564" spans="1:1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930.34</v>
      </c>
      <c r="K564" s="163"/>
      <c r="L564" s="163"/>
      <c r="M564" s="163"/>
      <c r="N564" s="163"/>
      <c r="O564" s="163"/>
      <c r="P564" s="163"/>
    </row>
    <row r="565" spans="1:1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218</v>
      </c>
      <c r="K565" s="163"/>
      <c r="L565" s="163"/>
      <c r="M565" s="163"/>
      <c r="N565" s="163"/>
      <c r="O565" s="163"/>
      <c r="P565" s="163"/>
    </row>
    <row r="566" spans="1:1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399.54</v>
      </c>
      <c r="K566" s="163"/>
      <c r="L566" s="163"/>
      <c r="M566" s="163"/>
      <c r="N566" s="163"/>
      <c r="O566" s="163"/>
      <c r="P566" s="163"/>
    </row>
    <row r="567" spans="1:1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107</v>
      </c>
      <c r="K567" s="163"/>
      <c r="L567" s="163"/>
      <c r="M567" s="163"/>
      <c r="N567" s="163"/>
      <c r="O567" s="163"/>
      <c r="P567" s="163"/>
    </row>
    <row r="568" spans="1:1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IFERROR(__xludf.DUMMYFUNCTION("IMPORTRANGE(""https://docs.google.com/spreadsheets/d/1QqKyyYR6Q21VydFLVH3TRQUabQu_ym0Zz7PgGX0-kHA/edit?usp=sharing"",""แผน!HH16"")"),7071)</f>
        <v>7071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</row>
    <row r="569" spans="1:1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IFERROR(__xludf.DUMMYFUNCTION("IMPORTRANGE(""https://docs.google.com/spreadsheets/d/1QqKyyYR6Q21VydFLVH3TRQUabQu_ym0Zz7PgGX0-kHA/edit?usp=sharing"",""แผน!HG16"")"),1982)</f>
        <v>1982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</row>
    <row r="570" spans="1:1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</row>
    <row r="571" spans="1:1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</row>
    <row r="572" spans="1:1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</row>
    <row r="573" spans="1:1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</row>
    <row r="574" spans="1:1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</row>
    <row r="575" spans="1:1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</row>
    <row r="576" spans="1:1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IFERROR(__xludf.DUMMYFUNCTION("IMPORTRANGE(""https://docs.google.com/spreadsheets/d/1QqKyyYR6Q21VydFLVH3TRQUabQu_ym0Zz7PgGX0-kHA/edit?usp=sharing"",""แผน!HH16"")"),7071)</f>
        <v>7071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</row>
    <row r="577" spans="1:1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IFERROR(__xludf.DUMMYFUNCTION("IMPORTRANGE(""https://docs.google.com/spreadsheets/d/1QqKyyYR6Q21VydFLVH3TRQUabQu_ym0Zz7PgGX0-kHA/edit?usp=sharing"",""แผน!HG16"")"),1982)</f>
        <v>1982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</row>
    <row r="578" spans="1:1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</row>
    <row r="579" spans="1:1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</row>
    <row r="580" spans="1:1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</row>
    <row r="581" spans="1:1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</row>
    <row r="582" spans="1:1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</row>
    <row r="583" spans="1:1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</row>
    <row r="584" spans="1:1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</row>
    <row r="585" spans="1:1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</row>
    <row r="586" spans="1:1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</row>
    <row r="587" spans="1:1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</row>
    <row r="588" spans="1:1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</row>
    <row r="589" spans="1:1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</row>
    <row r="590" spans="1:1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</row>
    <row r="591" spans="1:1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</row>
    <row r="592" spans="1:1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3900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</row>
    <row r="593" spans="1:1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IFERROR(__xludf.DUMMYFUNCTION("IMPORTRANGE(""https://docs.google.com/spreadsheets/d/1QqKyyYR6Q21VydFLVH3TRQUabQu_ym0Zz7PgGX0-kHA/edit?usp=sharing"",""แผน!HJ16"")"),3900)</f>
        <v>3900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</row>
    <row r="594" spans="1:1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IFERROR(__xludf.DUMMYFUNCTION("IMPORTRANGE(""https://docs.google.com/spreadsheets/d/1QqKyyYR6Q21VydFLVH3TRQUabQu_ym0Zz7PgGX0-kHA/edit?usp=sharing"",""แผน!HI16"")"),220)</f>
        <v>220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</row>
    <row r="595" spans="1:1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</row>
    <row r="596" spans="1:1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</row>
    <row r="597" spans="1:1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</row>
    <row r="598" spans="1:1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</row>
    <row r="599" spans="1:1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</row>
    <row r="600" spans="1:1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</row>
    <row r="601" spans="1:1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</row>
    <row r="602" spans="1:1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</row>
    <row r="603" spans="1:1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</row>
    <row r="604" spans="1:1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</row>
    <row r="605" spans="1:1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</row>
    <row r="606" spans="1:1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</row>
    <row r="607" spans="1:1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</row>
    <row r="608" spans="1:1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</row>
    <row r="609" spans="1:1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</row>
    <row r="610" spans="1:1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</row>
    <row r="611" spans="1:1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</row>
    <row r="612" spans="1:1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</row>
    <row r="613" spans="1:1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</row>
    <row r="614" spans="1:1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</row>
    <row r="615" spans="1:1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</row>
    <row r="616" spans="1:1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</row>
    <row r="617" spans="1:1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</row>
    <row r="618" spans="1:1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</row>
    <row r="619" spans="1:1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</row>
    <row r="620" spans="1:1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IFERROR(__xludf.DUMMYFUNCTION("IMPORTRANGE(""https://docs.google.com/spreadsheets/d/1QqKyyYR6Q21VydFLVH3TRQUabQu_ym0Zz7PgGX0-kHA/edit?usp=sharing"",""แผน!HL16"")"),13)</f>
        <v>13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</row>
    <row r="621" spans="1:1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IFERROR(__xludf.DUMMYFUNCTION("IMPORTRANGE(""https://docs.google.com/spreadsheets/d/1QqKyyYR6Q21VydFLVH3TRQUabQu_ym0Zz7PgGX0-kHA/edit?usp=sharing"",""แผน!HK16"")"),2)</f>
        <v>2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</row>
    <row r="622" spans="1:1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</row>
    <row r="623" spans="1:1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</row>
    <row r="624" spans="1:1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</row>
    <row r="625" spans="1:1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</row>
    <row r="626" spans="1:1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</row>
    <row r="627" spans="1:1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</row>
    <row r="628" spans="1:1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21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</row>
    <row r="629" spans="1:1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233605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</row>
    <row r="630" spans="1:1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</row>
    <row r="631" spans="1:1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233605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</row>
    <row r="632" spans="1:1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233605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</row>
    <row r="633" spans="1:1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</row>
    <row r="634" spans="1:1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IFERROR(__xludf.DUMMYFUNCTION("IMPORTRANGE(""https://docs.google.com/spreadsheets/d/1QqKyyYR6Q21VydFLVH3TRQUabQu_ym0Zz7PgGX0-kHA/edit?usp=sharing"",""แผน!HN16"")"),233605)</f>
        <v>233605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</row>
    <row r="635" spans="1:1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</row>
    <row r="636" spans="1:1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</row>
    <row r="637" spans="1:1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</row>
    <row r="638" spans="1:1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0</v>
      </c>
      <c r="O638" s="466"/>
      <c r="P638" s="466"/>
    </row>
    <row r="639" spans="1:1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</row>
    <row r="640" spans="1:1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</row>
    <row r="641" spans="1:1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</row>
    <row r="642" spans="1:1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</row>
    <row r="643" spans="1:1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IFERROR(__xludf.DUMMYFUNCTION("IMPORTRANGE(""https://docs.google.com/spreadsheets/d/1QqKyyYR6Q21VydFLVH3TRQUabQu_ym0Zz7PgGX0-kHA/edit?usp=sharing"",""แผน!HR16"")"),2)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</row>
    <row r="644" spans="1:1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IFERROR(__xludf.DUMMYFUNCTION("IMPORTRANGE(""https://docs.google.com/spreadsheets/d/1QqKyyYR6Q21VydFLVH3TRQUabQu_ym0Zz7PgGX0-kHA/edit?usp=sharing"",""แผน!HR16"")"),2)</f>
        <v>2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</row>
    <row r="645" spans="1:1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IFERROR(__xludf.DUMMYFUNCTION("IMPORTRANGE(""https://docs.google.com/spreadsheets/d/1XWAQStnk-4SwqDmLtmXYiTMKHgktTP8We1SCoS47DrQ/edit?usp=sharing"",""จัดที่ดิน!AS16"")"),0)</f>
        <v>0</v>
      </c>
      <c r="K645" s="163">
        <f t="shared" si="271"/>
        <v>0</v>
      </c>
      <c r="L645" s="163"/>
      <c r="M645" s="163"/>
      <c r="N645" s="466"/>
      <c r="O645" s="163"/>
      <c r="P645" s="163"/>
    </row>
    <row r="646" spans="1:1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IFERROR(__xludf.DUMMYFUNCTION("IMPORTRANGE(""https://docs.google.com/spreadsheets/d/1XWAQStnk-4SwqDmLtmXYiTMKHgktTP8We1SCoS47DrQ/edit?usp=sharing"",""จัดที่ดิน!AT16"")"),0)</f>
        <v>0</v>
      </c>
      <c r="K646" s="466">
        <f t="shared" si="271"/>
        <v>0</v>
      </c>
      <c r="L646" s="163"/>
      <c r="M646" s="163"/>
      <c r="N646" s="466"/>
      <c r="O646" s="163"/>
      <c r="P646" s="163"/>
    </row>
    <row r="647" spans="1:1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IFERROR(__xludf.DUMMYFUNCTION("IMPORTRANGE(""https://docs.google.com/spreadsheets/d/1QqKyyYR6Q21VydFLVH3TRQUabQu_ym0Zz7PgGX0-kHA/edit?usp=sharing"",""แผน!HS16"")"),21)</f>
        <v>21</v>
      </c>
      <c r="J647" s="270">
        <f ca="1">IFERROR(__xludf.DUMMYFUNCTION("IMPORTRANGE(""https://docs.google.com/spreadsheets/d/1XWAQStnk-4SwqDmLtmXYiTMKHgktTP8We1SCoS47DrQ/edit?usp=sharing"",""จัดที่ดิน!AU16"")"),0)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</row>
    <row r="648" spans="1:1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IFERROR(__xludf.DUMMYFUNCTION("IMPORTRANGE(""https://docs.google.com/spreadsheets/d/1XWAQStnk-4SwqDmLtmXYiTMKHgktTP8We1SCoS47DrQ/edit?usp=sharing"",""จัดที่ดิน!AV16"")"),0)</f>
        <v>0</v>
      </c>
      <c r="K648" s="466">
        <f t="shared" si="271"/>
        <v>0</v>
      </c>
      <c r="L648" s="163"/>
      <c r="M648" s="163"/>
      <c r="N648" s="163"/>
      <c r="O648" s="163"/>
      <c r="P648" s="163"/>
    </row>
    <row r="649" spans="1:1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IFERROR(__xludf.DUMMYFUNCTION("IMPORTRANGE(""https://docs.google.com/spreadsheets/d/1QqKyyYR6Q21VydFLVH3TRQUabQu_ym0Zz7PgGX0-kHA/edit?usp=sharing"",""แผน!HS16"")"),21)</f>
        <v>21</v>
      </c>
      <c r="J649" s="270">
        <f ca="1">IFERROR(__xludf.DUMMYFUNCTION("IMPORTRANGE(""https://docs.google.com/spreadsheets/d/1XWAQStnk-4SwqDmLtmXYiTMKHgktTP8We1SCoS47DrQ/edit?usp=sharing"",""จัดที่ดิน!AW16"")"),0)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</row>
    <row r="650" spans="1:1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IFERROR(__xludf.DUMMYFUNCTION("IMPORTRANGE(""https://docs.google.com/spreadsheets/d/1XWAQStnk-4SwqDmLtmXYiTMKHgktTP8We1SCoS47DrQ/edit?usp=sharing"",""จัดที่ดิน!AX16"")"),0)</f>
        <v>0</v>
      </c>
      <c r="K650" s="466">
        <f t="shared" si="271"/>
        <v>0</v>
      </c>
      <c r="L650" s="163"/>
      <c r="M650" s="163"/>
      <c r="N650" s="163"/>
      <c r="O650" s="163"/>
      <c r="P650" s="163"/>
    </row>
    <row r="651" spans="1:1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IFERROR(__xludf.DUMMYFUNCTION("IMPORTRANGE(""https://docs.google.com/spreadsheets/d/1QqKyyYR6Q21VydFLVH3TRQUabQu_ym0Zz7PgGX0-kHA/edit?usp=sharing"",""แผน!HS16"")"),21)</f>
        <v>21</v>
      </c>
      <c r="J651" s="270">
        <f ca="1">IFERROR(__xludf.DUMMYFUNCTION("IMPORTRANGE(""https://docs.google.com/spreadsheets/d/1XWAQStnk-4SwqDmLtmXYiTMKHgktTP8We1SCoS47DrQ/edit?usp=sharing"",""จัดที่ดิน!AY16"")"),0)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</row>
    <row r="652" spans="1:1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IFERROR(__xludf.DUMMYFUNCTION("IMPORTRANGE(""https://docs.google.com/spreadsheets/d/1XWAQStnk-4SwqDmLtmXYiTMKHgktTP8We1SCoS47DrQ/edit?usp=sharing"",""จัดที่ดิน!AZ16"")"),0)</f>
        <v>0</v>
      </c>
      <c r="K652" s="470">
        <f t="shared" si="271"/>
        <v>0</v>
      </c>
      <c r="L652" s="354"/>
      <c r="M652" s="354"/>
      <c r="N652" s="354"/>
      <c r="O652" s="354"/>
      <c r="P652" s="354"/>
    </row>
    <row r="653" spans="1:1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</row>
    <row r="654" spans="1:1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100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</row>
    <row r="655" spans="1:1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15600</v>
      </c>
      <c r="M655" s="195">
        <f t="shared" si="273"/>
        <v>0</v>
      </c>
      <c r="N655" s="195">
        <f t="shared" si="273"/>
        <v>3403</v>
      </c>
      <c r="O655" s="195">
        <f t="shared" ref="O655:O660" ca="1" si="274">IF(L655&gt;0,N655*100/L655,0)</f>
        <v>21.814102564102566</v>
      </c>
      <c r="P655" s="195">
        <f t="shared" ref="P655:P660" si="275">IF(M655&gt;0,N655*100/M655,0)</f>
        <v>0</v>
      </c>
    </row>
    <row r="656" spans="1:1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</row>
    <row r="657" spans="1:1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15600</v>
      </c>
      <c r="M657" s="93">
        <f t="shared" si="276"/>
        <v>0</v>
      </c>
      <c r="N657" s="93">
        <f t="shared" si="276"/>
        <v>3403</v>
      </c>
      <c r="O657" s="93">
        <f t="shared" ca="1" si="274"/>
        <v>21.814102564102566</v>
      </c>
      <c r="P657" s="93">
        <f t="shared" si="275"/>
        <v>0</v>
      </c>
    </row>
    <row r="658" spans="1:1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15600</v>
      </c>
      <c r="M658" s="466">
        <f t="shared" si="277"/>
        <v>0</v>
      </c>
      <c r="N658" s="466">
        <f t="shared" si="277"/>
        <v>3403</v>
      </c>
      <c r="O658" s="466">
        <f t="shared" ca="1" si="274"/>
        <v>21.814102564102566</v>
      </c>
      <c r="P658" s="466">
        <f t="shared" si="275"/>
        <v>0</v>
      </c>
    </row>
    <row r="659" spans="1:1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</row>
    <row r="660" spans="1:1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IFERROR(__xludf.DUMMYFUNCTION("IMPORTRANGE(""https://docs.google.com/spreadsheets/d/1QqKyyYR6Q21VydFLVH3TRQUabQu_ym0Zz7PgGX0-kHA/edit?usp=sharing"",""แผน!HV16"")"),15600)</f>
        <v>15600</v>
      </c>
      <c r="M660" s="93">
        <v>0</v>
      </c>
      <c r="N660" s="93">
        <f>N661+N662+N663+N664</f>
        <v>3403</v>
      </c>
      <c r="O660" s="93">
        <f t="shared" ca="1" si="274"/>
        <v>21.814102564102566</v>
      </c>
      <c r="P660" s="93">
        <f t="shared" si="275"/>
        <v>0</v>
      </c>
    </row>
    <row r="661" spans="1:1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</row>
    <row r="662" spans="1:1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</row>
    <row r="663" spans="1:1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</row>
    <row r="664" spans="1:1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f>1400+2003</f>
        <v>3403</v>
      </c>
      <c r="O664" s="466"/>
      <c r="P664" s="466"/>
    </row>
    <row r="665" spans="1:1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</row>
    <row r="666" spans="1:1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</row>
    <row r="667" spans="1:1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</row>
    <row r="668" spans="1:1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</row>
    <row r="669" spans="1:1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IFERROR(__xludf.DUMMYFUNCTION("IMPORTRANGE(""https://docs.google.com/spreadsheets/d/1QqKyyYR6Q21VydFLVH3TRQUabQu_ym0Zz7PgGX0-kHA/edit?usp=sharing"",""แผน!IA16"")"),100)</f>
        <v>100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</row>
    <row r="670" spans="1:1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IFERROR(__xludf.DUMMYFUNCTION("IMPORTRANGE(""https://docs.google.com/spreadsheets/d/1QqKyyYR6Q21VydFLVH3TRQUabQu_ym0Zz7PgGX0-kHA/edit?usp=sharing"",""แผน!HZ16"")"),6)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</row>
    <row r="671" spans="1:1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IFERROR(__xludf.DUMMYFUNCTION("IMPORTRANGE(""https://docs.google.com/spreadsheets/d/1QqKyyYR6Q21VydFLVH3TRQUabQu_ym0Zz7PgGX0-kHA/edit?usp=sharing"",""แผน!HZ16"")"),6)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</row>
    <row r="672" spans="1:1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</row>
    <row r="673" spans="1:1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</row>
    <row r="674" spans="1:1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</row>
    <row r="675" spans="1:1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</row>
    <row r="676" spans="1:1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</row>
    <row r="677" spans="1:1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</row>
    <row r="678" spans="1:1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IFERROR(__xludf.DUMMYFUNCTION("IMPORTRANGE(""https://docs.google.com/spreadsheets/d/1QqKyyYR6Q21VydFLVH3TRQUabQu_ym0Zz7PgGX0-kHA/edit?usp=sharing"",""แผน!IB16"")"),0)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</row>
    <row r="679" spans="1:1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</row>
    <row r="680" spans="1:1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</row>
    <row r="681" spans="1:1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</row>
    <row r="682" spans="1:1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</row>
    <row r="683" spans="1:16" ht="18.75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</row>
    <row r="684" spans="1:1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</row>
    <row r="685" spans="1:16" ht="19.5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1750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</row>
    <row r="686" spans="1:1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</row>
    <row r="687" spans="1:1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1750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</row>
    <row r="688" spans="1:16" ht="18.75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1750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</row>
    <row r="689" spans="1:1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</row>
    <row r="690" spans="1:1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IFERROR(__xludf.DUMMYFUNCTION("IMPORTRANGE(""https://docs.google.com/spreadsheets/d/1QqKyyYR6Q21VydFLVH3TRQUabQu_ym0Zz7PgGX0-kHA/edit?usp=sharing"",""แผน!HW16"")"),1750)</f>
        <v>1750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</row>
    <row r="691" spans="1:16" ht="18.75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</row>
    <row r="692" spans="1:16" ht="18.75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</row>
    <row r="693" spans="1:16" ht="18.75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</row>
    <row r="694" spans="1:16" ht="18.75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</row>
    <row r="695" spans="1:16" ht="18.75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</row>
    <row r="696" spans="1:1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</row>
    <row r="697" spans="1:1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</row>
    <row r="698" spans="1:16" ht="19.5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</row>
    <row r="699" spans="1:1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IFERROR(__xludf.DUMMYFUNCTION("IMPORTRANGE(""https://docs.google.com/spreadsheets/d/1QqKyyYR6Q21VydFLVH3TRQUabQu_ym0Zz7PgGX0-kHA/edit?usp=sharing"",""แผน!IC16"")"),0)</f>
        <v>0</v>
      </c>
      <c r="J699" s="270">
        <f ca="1">IFERROR(__xludf.DUMMYFUNCTION("IMPORTRANGE(""https://docs.google.com/spreadsheets/d/1XWAQStnk-4SwqDmLtmXYiTMKHgktTP8We1SCoS47DrQ/edit?usp=sharing"",""จัดที่ดิน!BB16"")"),0)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</row>
    <row r="700" spans="1:1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IFERROR(__xludf.DUMMYFUNCTION("IMPORTRANGE(""https://docs.google.com/spreadsheets/d/1QqKyyYR6Q21VydFLVH3TRQUabQu_ym0Zz7PgGX0-kHA/edit?usp=sharing"",""แผน!ID16"")"),4)</f>
        <v>4</v>
      </c>
      <c r="J700" s="270">
        <f ca="1">IFERROR(__xludf.DUMMYFUNCTION("IMPORTRANGE(""https://docs.google.com/spreadsheets/d/1XWAQStnk-4SwqDmLtmXYiTMKHgktTP8We1SCoS47DrQ/edit?usp=sharing"",""จัดที่ดิน!BD16"")"),0)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</row>
    <row r="701" spans="1:1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IFERROR(__xludf.DUMMYFUNCTION("IMPORTRANGE(""https://docs.google.com/spreadsheets/d/1QqKyyYR6Q21VydFLVH3TRQUabQu_ym0Zz7PgGX0-kHA/edit?usp=sharing"",""แผน!IE16"")"),0)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</row>
    <row r="702" spans="1:1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</row>
    <row r="703" spans="1:1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</row>
    <row r="704" spans="1:1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IFERROR(__xludf.DUMMYFUNCTION("IMPORTRANGE(""https://docs.google.com/spreadsheets/d/1QqKyyYR6Q21VydFLVH3TRQUabQu_ym0Zz7PgGX0-kHA/edit?usp=sharing"",""แผน!IF16"")"),0)</f>
        <v>0</v>
      </c>
      <c r="J704" s="215">
        <v>0</v>
      </c>
      <c r="K704" s="466"/>
      <c r="L704" s="466"/>
      <c r="M704" s="189"/>
      <c r="N704" s="730"/>
      <c r="O704" s="466"/>
      <c r="P704" s="466"/>
    </row>
    <row r="705" spans="1:1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</row>
    <row r="706" spans="1:1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</row>
    <row r="707" spans="1:1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IFERROR(__xludf.DUMMYFUNCTION("IMPORTRANGE(""https://docs.google.com/spreadsheets/d/1QqKyyYR6Q21VydFLVH3TRQUabQu_ym0Zz7PgGX0-kHA/edit?usp=sharing"",""แผน!IG16"")"),0)</f>
        <v>0</v>
      </c>
      <c r="J707" s="215">
        <v>0</v>
      </c>
      <c r="K707" s="466"/>
      <c r="L707" s="466"/>
      <c r="M707" s="189"/>
      <c r="N707" s="730"/>
      <c r="O707" s="466"/>
      <c r="P707" s="466"/>
    </row>
    <row r="708" spans="1:1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IFERROR(__xludf.DUMMYFUNCTION("IMPORTRANGE(""https://docs.google.com/spreadsheets/d/1QqKyyYR6Q21VydFLVH3TRQUabQu_ym0Zz7PgGX0-kHA/edit?usp=sharing"",""แผน!IH16"")"),0)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</row>
    <row r="709" spans="1:1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</row>
    <row r="710" spans="1:1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</row>
    <row r="711" spans="1:1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</row>
    <row r="712" spans="1:1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</row>
    <row r="713" spans="1:1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</row>
    <row r="714" spans="1:1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</row>
    <row r="715" spans="1:1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</row>
    <row r="716" spans="1:1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</row>
    <row r="717" spans="1:1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</row>
    <row r="718" spans="1:1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IFERROR(__xludf.DUMMYFUNCTION("IMPORTRANGE(""https://docs.google.com/spreadsheets/d/1XWAQStnk-4SwqDmLtmXYiTMKHgktTP8We1SCoS47DrQ/edit?usp=sharing"",""จัดที่ดิน!BF16"")"),0)</f>
        <v>0</v>
      </c>
      <c r="K718" s="466"/>
      <c r="L718" s="466"/>
      <c r="M718" s="189"/>
      <c r="N718" s="730"/>
      <c r="O718" s="466"/>
      <c r="P718" s="466"/>
    </row>
    <row r="719" spans="1:1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IFERROR(__xludf.DUMMYFUNCTION("IMPORTRANGE(""https://docs.google.com/spreadsheets/d/1XWAQStnk-4SwqDmLtmXYiTMKHgktTP8We1SCoS47DrQ/edit?usp=sharing"",""จัดที่ดิน!BG16"")"),0)</f>
        <v>0</v>
      </c>
      <c r="K719" s="466"/>
      <c r="L719" s="730"/>
      <c r="M719" s="189"/>
      <c r="N719" s="730"/>
      <c r="O719" s="466"/>
      <c r="P719" s="466"/>
    </row>
    <row r="720" spans="1:1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IFERROR(__xludf.DUMMYFUNCTION("IMPORTRANGE(""https://docs.google.com/spreadsheets/d/1QqKyyYR6Q21VydFLVH3TRQUabQu_ym0Zz7PgGX0-kHA/edit?usp=sharing"",""แผน!II16"")"),9)</f>
        <v>9</v>
      </c>
      <c r="J720" s="270">
        <f ca="1">IFERROR(__xludf.DUMMYFUNCTION("IMPORTRANGE(""https://docs.google.com/spreadsheets/d/1XWAQStnk-4SwqDmLtmXYiTMKHgktTP8We1SCoS47DrQ/edit?usp=sharing"",""จัดที่ดิน!BH16"")"),0)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</row>
    <row r="721" spans="1:1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IFERROR(__xludf.DUMMYFUNCTION("IMPORTRANGE(""https://docs.google.com/spreadsheets/d/1QqKyyYR6Q21VydFLVH3TRQUabQu_ym0Zz7PgGX0-kHA/edit?usp=sharing"",""แผน!IJ16"")"),0)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</row>
    <row r="722" spans="1:1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IFERROR(__xludf.DUMMYFUNCTION("IMPORTRANGE(""https://docs.google.com/spreadsheets/d/1QqKyyYR6Q21VydFLVH3TRQUabQu_ym0Zz7PgGX0-kHA/edit?usp=sharing"",""แผน!IK16"")"),0)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</row>
    <row r="723" spans="1:1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IFERROR(__xludf.DUMMYFUNCTION("IMPORTRANGE(""https://docs.google.com/spreadsheets/d/1QqKyyYR6Q21VydFLVH3TRQUabQu_ym0Zz7PgGX0-kHA/edit?usp=sharing"",""แผน!IL16"")"),0)</f>
        <v>0</v>
      </c>
      <c r="J723" s="270">
        <f ca="1">IFERROR(__xludf.DUMMYFUNCTION("IMPORTRANGE(""https://docs.google.com/spreadsheets/d/1XWAQStnk-4SwqDmLtmXYiTMKHgktTP8We1SCoS47DrQ/edit?usp=sharing"",""จัดที่ดิน!BM16"")"),0)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</row>
    <row r="724" spans="1:1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IFERROR(__xludf.DUMMYFUNCTION("IMPORTRANGE(""https://docs.google.com/spreadsheets/d/1XWAQStnk-4SwqDmLtmXYiTMKHgktTP8We1SCoS47DrQ/edit?usp=sharing"",""จัดที่ดิน!BN16"")"),0)</f>
        <v>0</v>
      </c>
      <c r="K724" s="466"/>
      <c r="L724" s="730"/>
      <c r="M724" s="189"/>
      <c r="N724" s="730"/>
      <c r="O724" s="466"/>
      <c r="P724" s="466"/>
    </row>
    <row r="725" spans="1:1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IFERROR(__xludf.DUMMYFUNCTION("IMPORTRANGE(""https://docs.google.com/spreadsheets/d/1QqKyyYR6Q21VydFLVH3TRQUabQu_ym0Zz7PgGX0-kHA/edit?usp=sharing"",""แผน!IM16"")"),0)</f>
        <v>0</v>
      </c>
      <c r="J725" s="270">
        <f ca="1">IFERROR(__xludf.DUMMYFUNCTION("IMPORTRANGE(""https://docs.google.com/spreadsheets/d/1XWAQStnk-4SwqDmLtmXYiTMKHgktTP8We1SCoS47DrQ/edit?usp=sharing"",""จัดที่ดิน!BO16"")"),0)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</row>
    <row r="726" spans="1:1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IFERROR(__xludf.DUMMYFUNCTION("IMPORTRANGE(""https://docs.google.com/spreadsheets/d/1QqKyyYR6Q21VydFLVH3TRQUabQu_ym0Zz7PgGX0-kHA/edit?usp=sharing"",""แผน!IN16"")"),0)</f>
        <v>0</v>
      </c>
      <c r="J726" s="270">
        <f ca="1">IFERROR(__xludf.DUMMYFUNCTION("IMPORTRANGE(""https://docs.google.com/spreadsheets/d/1XWAQStnk-4SwqDmLtmXYiTMKHgktTP8We1SCoS47DrQ/edit?usp=sharing"",""จัดที่ดิน!BR16"")"),0)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</row>
    <row r="727" spans="1:1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IFERROR(__xludf.DUMMYFUNCTION("IMPORTRANGE(""https://docs.google.com/spreadsheets/d/1XWAQStnk-4SwqDmLtmXYiTMKHgktTP8We1SCoS47DrQ/edit?usp=sharing"",""จัดที่ดิน!BS16"")"),0)</f>
        <v>0</v>
      </c>
      <c r="K727" s="466"/>
      <c r="L727" s="730"/>
      <c r="M727" s="189"/>
      <c r="N727" s="730"/>
      <c r="O727" s="466"/>
      <c r="P727" s="466"/>
    </row>
    <row r="728" spans="1:1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IFERROR(__xludf.DUMMYFUNCTION("IMPORTRANGE(""https://docs.google.com/spreadsheets/d/1QqKyyYR6Q21VydFLVH3TRQUabQu_ym0Zz7PgGX0-kHA/edit?usp=sharing"",""แผน!IO16"")"),0)</f>
        <v>0</v>
      </c>
      <c r="J728" s="270">
        <f ca="1">IFERROR(__xludf.DUMMYFUNCTION("IMPORTRANGE(""https://docs.google.com/spreadsheets/d/1XWAQStnk-4SwqDmLtmXYiTMKHgktTP8We1SCoS47DrQ/edit?usp=sharing"",""จัดที่ดิน!BT16"")"),0)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</row>
    <row r="729" spans="1:1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IFERROR(__xludf.DUMMYFUNCTION("IMPORTRANGE(""https://docs.google.com/spreadsheets/d/1QqKyyYR6Q21VydFLVH3TRQUabQu_ym0Zz7PgGX0-kHA/edit?usp=sharing"",""แผน!IP16"")"),0)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</row>
    <row r="730" spans="1:1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</row>
    <row r="731" spans="1:1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</row>
    <row r="732" spans="1:1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</row>
    <row r="733" spans="1:1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</row>
    <row r="734" spans="1:1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</row>
    <row r="735" spans="1:1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</row>
    <row r="736" spans="1:1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</row>
    <row r="737" spans="1:1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</row>
    <row r="738" spans="1:1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</row>
    <row r="739" spans="1:1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</row>
    <row r="740" spans="1:1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</row>
    <row r="741" spans="1:1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</row>
    <row r="742" spans="1:1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</row>
    <row r="743" spans="1:1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</row>
    <row r="744" spans="1:1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</row>
    <row r="745" spans="1:1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</row>
    <row r="746" spans="1:1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</row>
    <row r="747" spans="1:1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</row>
    <row r="748" spans="1:1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</row>
    <row r="749" spans="1:1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</row>
    <row r="750" spans="1:1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</row>
    <row r="751" spans="1:1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</row>
    <row r="752" spans="1:1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</row>
    <row r="753" spans="1:1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</row>
    <row r="754" spans="1:1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</row>
    <row r="755" spans="1:1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</row>
    <row r="756" spans="1:1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</row>
    <row r="757" spans="1:1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</row>
    <row r="758" spans="1:1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</row>
    <row r="759" spans="1:1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</row>
    <row r="760" spans="1:1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</row>
    <row r="761" spans="1:1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</row>
    <row r="762" spans="1:1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</row>
    <row r="763" spans="1:1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</row>
    <row r="764" spans="1:1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</row>
    <row r="765" spans="1:1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</row>
    <row r="766" spans="1:1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</row>
    <row r="767" spans="1:1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</row>
    <row r="768" spans="1:1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</row>
    <row r="769" spans="1:1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</row>
    <row r="770" spans="1:1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</row>
    <row r="771" spans="1:1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</row>
    <row r="772" spans="1:1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</row>
    <row r="773" spans="1:1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</row>
    <row r="774" spans="1:1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</row>
    <row r="775" spans="1:1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</row>
    <row r="776" spans="1:1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</row>
    <row r="777" spans="1:1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</row>
    <row r="778" spans="1:1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</row>
    <row r="779" spans="1:1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</row>
    <row r="780" spans="1:1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</row>
    <row r="781" spans="1:1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</row>
    <row r="782" spans="1:1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</row>
    <row r="783" spans="1:1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</row>
    <row r="784" spans="1:1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</row>
    <row r="785" spans="1:1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892" t="s">
        <v>46</v>
      </c>
      <c r="I785" s="893">
        <f t="shared" ref="I785:J785" ca="1" si="318">I801+I803</f>
        <v>2000</v>
      </c>
      <c r="J785" s="893">
        <f t="shared" ca="1" si="318"/>
        <v>0</v>
      </c>
      <c r="K785" s="894">
        <f ca="1">IF(I785&gt;0,J785*100/I785,0)</f>
        <v>0</v>
      </c>
      <c r="L785" s="773"/>
      <c r="M785" s="773"/>
      <c r="N785" s="773"/>
      <c r="O785" s="773"/>
      <c r="P785" s="773"/>
    </row>
    <row r="786" spans="1:16" ht="19.5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895" t="s">
        <v>12</v>
      </c>
      <c r="I786" s="896"/>
      <c r="J786" s="896"/>
      <c r="K786" s="897"/>
      <c r="L786" s="195">
        <f t="shared" ref="L786:N786" ca="1" si="319">L787+L788</f>
        <v>137280</v>
      </c>
      <c r="M786" s="195">
        <f t="shared" si="319"/>
        <v>0</v>
      </c>
      <c r="N786" s="195">
        <f t="shared" si="319"/>
        <v>4203.58</v>
      </c>
      <c r="O786" s="195">
        <f t="shared" ref="O786:O791" ca="1" si="320">IF(L786&gt;0,N786*100/L786,0)</f>
        <v>3.0620483682983681</v>
      </c>
      <c r="P786" s="195">
        <f t="shared" ref="P786:P791" si="321">IF(M786&gt;0,N786*100/M786,0)</f>
        <v>0</v>
      </c>
    </row>
    <row r="787" spans="1:16" ht="18.75" hidden="1">
      <c r="A787" s="564"/>
      <c r="B787" s="572"/>
      <c r="C787" s="723"/>
      <c r="D787" s="684"/>
      <c r="E787" s="723" t="s">
        <v>184</v>
      </c>
      <c r="F787" s="723"/>
      <c r="G787" s="568"/>
      <c r="H787" s="898" t="s">
        <v>12</v>
      </c>
      <c r="I787" s="896"/>
      <c r="J787" s="896"/>
      <c r="K787" s="89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</row>
    <row r="788" spans="1:16" ht="18.75" hidden="1">
      <c r="A788" s="564"/>
      <c r="B788" s="572"/>
      <c r="C788" s="572"/>
      <c r="D788" s="581"/>
      <c r="E788" s="723" t="s">
        <v>185</v>
      </c>
      <c r="F788" s="723"/>
      <c r="G788" s="568"/>
      <c r="H788" s="898" t="s">
        <v>12</v>
      </c>
      <c r="I788" s="896"/>
      <c r="J788" s="896"/>
      <c r="K788" s="897"/>
      <c r="L788" s="93">
        <f t="shared" ca="1" si="322"/>
        <v>137280</v>
      </c>
      <c r="M788" s="93">
        <f t="shared" si="322"/>
        <v>0</v>
      </c>
      <c r="N788" s="93">
        <f t="shared" si="322"/>
        <v>4203.58</v>
      </c>
      <c r="O788" s="93">
        <f t="shared" ca="1" si="320"/>
        <v>3.0620483682983681</v>
      </c>
      <c r="P788" s="93">
        <f t="shared" si="321"/>
        <v>0</v>
      </c>
    </row>
    <row r="789" spans="1:16" ht="18.75">
      <c r="A789" s="562"/>
      <c r="B789" s="539"/>
      <c r="C789" s="539"/>
      <c r="D789" s="571" t="s">
        <v>20</v>
      </c>
      <c r="E789" s="727"/>
      <c r="F789" s="727"/>
      <c r="G789" s="189"/>
      <c r="H789" s="899" t="s">
        <v>12</v>
      </c>
      <c r="I789" s="900"/>
      <c r="J789" s="900"/>
      <c r="K789" s="901"/>
      <c r="L789" s="466">
        <f t="shared" ref="L789:N789" ca="1" si="323">L790+L791</f>
        <v>137280</v>
      </c>
      <c r="M789" s="466">
        <f t="shared" si="323"/>
        <v>0</v>
      </c>
      <c r="N789" s="466">
        <f t="shared" si="323"/>
        <v>4203.58</v>
      </c>
      <c r="O789" s="466">
        <f t="shared" ca="1" si="320"/>
        <v>3.0620483682983681</v>
      </c>
      <c r="P789" s="466">
        <f t="shared" si="321"/>
        <v>0</v>
      </c>
    </row>
    <row r="790" spans="1:16" ht="18.75" hidden="1">
      <c r="A790" s="564"/>
      <c r="B790" s="572"/>
      <c r="C790" s="572"/>
      <c r="D790" s="581"/>
      <c r="E790" s="723" t="s">
        <v>184</v>
      </c>
      <c r="F790" s="723"/>
      <c r="G790" s="568"/>
      <c r="H790" s="898" t="s">
        <v>12</v>
      </c>
      <c r="I790" s="896"/>
      <c r="J790" s="896"/>
      <c r="K790" s="89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</row>
    <row r="791" spans="1:16" ht="18.75" hidden="1">
      <c r="A791" s="564"/>
      <c r="B791" s="572"/>
      <c r="C791" s="572"/>
      <c r="D791" s="581"/>
      <c r="E791" s="723" t="s">
        <v>185</v>
      </c>
      <c r="F791" s="723"/>
      <c r="G791" s="568"/>
      <c r="H791" s="898" t="s">
        <v>12</v>
      </c>
      <c r="I791" s="896"/>
      <c r="J791" s="896"/>
      <c r="K791" s="897"/>
      <c r="L791" s="93">
        <f ca="1">IFERROR(__xludf.DUMMYFUNCTION("IMPORTRANGE(""https://docs.google.com/spreadsheets/d/1QqKyyYR6Q21VydFLVH3TRQUabQu_ym0Zz7PgGX0-kHA/edit?usp=sharing"",""แผน!JJ16"")"),137280)</f>
        <v>137280</v>
      </c>
      <c r="M791" s="93">
        <v>0</v>
      </c>
      <c r="N791" s="93">
        <f>N792+N793+N794+N795</f>
        <v>4203.58</v>
      </c>
      <c r="O791" s="93">
        <f t="shared" ca="1" si="320"/>
        <v>3.0620483682983681</v>
      </c>
      <c r="P791" s="93">
        <f t="shared" si="321"/>
        <v>0</v>
      </c>
    </row>
    <row r="792" spans="1:16" ht="18.75">
      <c r="A792" s="538"/>
      <c r="B792" s="539"/>
      <c r="C792" s="727"/>
      <c r="D792" s="727"/>
      <c r="E792" s="727"/>
      <c r="F792" s="727" t="s">
        <v>186</v>
      </c>
      <c r="G792" s="189"/>
      <c r="H792" s="899" t="s">
        <v>12</v>
      </c>
      <c r="I792" s="896"/>
      <c r="J792" s="896"/>
      <c r="K792" s="897"/>
      <c r="L792" s="466"/>
      <c r="M792" s="466"/>
      <c r="N792" s="798">
        <v>0</v>
      </c>
      <c r="O792" s="466"/>
      <c r="P792" s="466"/>
    </row>
    <row r="793" spans="1:16" ht="18.75">
      <c r="A793" s="538"/>
      <c r="B793" s="539"/>
      <c r="C793" s="727"/>
      <c r="D793" s="727"/>
      <c r="E793" s="727"/>
      <c r="F793" s="727" t="s">
        <v>187</v>
      </c>
      <c r="G793" s="189"/>
      <c r="H793" s="899" t="s">
        <v>12</v>
      </c>
      <c r="I793" s="896"/>
      <c r="J793" s="896"/>
      <c r="K793" s="897"/>
      <c r="L793" s="466"/>
      <c r="M793" s="466"/>
      <c r="N793" s="798">
        <v>0</v>
      </c>
      <c r="O793" s="466"/>
      <c r="P793" s="466"/>
    </row>
    <row r="794" spans="1:16" ht="18.75">
      <c r="A794" s="538"/>
      <c r="B794" s="539"/>
      <c r="C794" s="727"/>
      <c r="D794" s="727"/>
      <c r="E794" s="727"/>
      <c r="F794" s="727" t="s">
        <v>188</v>
      </c>
      <c r="G794" s="189"/>
      <c r="H794" s="899" t="s">
        <v>12</v>
      </c>
      <c r="I794" s="896"/>
      <c r="J794" s="896"/>
      <c r="K794" s="897"/>
      <c r="L794" s="466"/>
      <c r="M794" s="466"/>
      <c r="N794" s="798">
        <v>0</v>
      </c>
      <c r="O794" s="466"/>
      <c r="P794" s="466"/>
    </row>
    <row r="795" spans="1:16" ht="18.75">
      <c r="A795" s="538"/>
      <c r="B795" s="539"/>
      <c r="C795" s="727"/>
      <c r="D795" s="727"/>
      <c r="E795" s="727"/>
      <c r="F795" s="727" t="s">
        <v>189</v>
      </c>
      <c r="G795" s="189"/>
      <c r="H795" s="899" t="s">
        <v>12</v>
      </c>
      <c r="I795" s="896"/>
      <c r="J795" s="896"/>
      <c r="K795" s="897"/>
      <c r="L795" s="466"/>
      <c r="M795" s="466"/>
      <c r="N795" s="798">
        <f>2135.72+1067.86+1000</f>
        <v>4203.58</v>
      </c>
      <c r="O795" s="466"/>
      <c r="P795" s="466"/>
    </row>
    <row r="796" spans="1:16" ht="18.75">
      <c r="A796" s="562"/>
      <c r="B796" s="539"/>
      <c r="C796" s="727"/>
      <c r="D796" s="571" t="s">
        <v>21</v>
      </c>
      <c r="E796" s="727"/>
      <c r="F796" s="727"/>
      <c r="G796" s="189"/>
      <c r="H796" s="902" t="s">
        <v>12</v>
      </c>
      <c r="I796" s="900"/>
      <c r="J796" s="900"/>
      <c r="K796" s="901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</row>
    <row r="797" spans="1:16" ht="18.75" hidden="1">
      <c r="A797" s="564"/>
      <c r="B797" s="572"/>
      <c r="C797" s="723"/>
      <c r="D797" s="723"/>
      <c r="E797" s="723" t="s">
        <v>18</v>
      </c>
      <c r="F797" s="723"/>
      <c r="G797" s="568"/>
      <c r="H797" s="898" t="s">
        <v>12</v>
      </c>
      <c r="I797" s="900"/>
      <c r="J797" s="900"/>
      <c r="K797" s="90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</row>
    <row r="798" spans="1:16" ht="18.75" hidden="1">
      <c r="A798" s="564"/>
      <c r="B798" s="572"/>
      <c r="C798" s="723"/>
      <c r="D798" s="723"/>
      <c r="E798" s="723" t="s">
        <v>19</v>
      </c>
      <c r="F798" s="723"/>
      <c r="G798" s="568"/>
      <c r="H798" s="903" t="s">
        <v>12</v>
      </c>
      <c r="I798" s="900"/>
      <c r="J798" s="900"/>
      <c r="K798" s="90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</row>
    <row r="799" spans="1:16" ht="19.5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904"/>
      <c r="I799" s="900"/>
      <c r="J799" s="900"/>
      <c r="K799" s="901"/>
      <c r="L799" s="163"/>
      <c r="M799" s="163"/>
      <c r="N799" s="163"/>
      <c r="O799" s="163"/>
      <c r="P799" s="163"/>
    </row>
    <row r="800" spans="1:16" ht="18.75">
      <c r="A800" s="573"/>
      <c r="B800" s="585"/>
      <c r="C800" s="585"/>
      <c r="D800" s="585"/>
      <c r="E800" s="593"/>
      <c r="F800" s="593" t="s">
        <v>320</v>
      </c>
      <c r="G800" s="726"/>
      <c r="H800" s="905" t="s">
        <v>34</v>
      </c>
      <c r="I800" s="900"/>
      <c r="J800" s="906">
        <f ca="1">IFERROR(__xludf.DUMMYFUNCTION("IMPORTRANGE(""https://docs.google.com/spreadsheets/d/1MaWodYyGHDf7siQLGxnXhG4mBNTNIuy296niS2xXulU/edit?usp=sharing"",""RTK!H16"")"),0)</f>
        <v>0</v>
      </c>
      <c r="K800" s="897"/>
      <c r="L800" s="466"/>
      <c r="M800" s="466"/>
      <c r="N800" s="466"/>
      <c r="O800" s="163"/>
      <c r="P800" s="163"/>
    </row>
    <row r="801" spans="1:16" ht="18.75">
      <c r="A801" s="573"/>
      <c r="B801" s="585"/>
      <c r="C801" s="585"/>
      <c r="D801" s="585"/>
      <c r="E801" s="593"/>
      <c r="F801" s="593"/>
      <c r="G801" s="726"/>
      <c r="H801" s="899" t="s">
        <v>46</v>
      </c>
      <c r="I801" s="906">
        <f ca="1">IFERROR(__xludf.DUMMYFUNCTION("IMPORTRANGE(""https://docs.google.com/spreadsheets/d/1MaWodYyGHDf7siQLGxnXhG4mBNTNIuy296niS2xXulU/edit?usp=sharing"",""RTK!G16"")"),2000)</f>
        <v>2000</v>
      </c>
      <c r="J801" s="907">
        <f ca="1">IFERROR(__xludf.DUMMYFUNCTION("IMPORTRANGE(""https://docs.google.com/spreadsheets/d/1MaWodYyGHDf7siQLGxnXhG4mBNTNIuy296niS2xXulU/edit?usp=sharing"",""RTK!I16"")"),0)</f>
        <v>0</v>
      </c>
      <c r="K801" s="908">
        <f ca="1">IF(I801&gt;0,J801*100/I801,0)</f>
        <v>0</v>
      </c>
      <c r="L801" s="466"/>
      <c r="M801" s="466"/>
      <c r="N801" s="466"/>
      <c r="O801" s="163"/>
      <c r="P801" s="163"/>
    </row>
    <row r="802" spans="1:16" ht="18.75">
      <c r="A802" s="777"/>
      <c r="B802" s="778"/>
      <c r="C802" s="778"/>
      <c r="D802" s="778"/>
      <c r="E802" s="780"/>
      <c r="F802" s="780" t="s">
        <v>321</v>
      </c>
      <c r="G802" s="333"/>
      <c r="H802" s="909" t="s">
        <v>34</v>
      </c>
      <c r="I802" s="910"/>
      <c r="J802" s="911">
        <f ca="1">IFERROR(__xludf.DUMMYFUNCTION("IMPORTRANGE(""https://docs.google.com/spreadsheets/d/1MaWodYyGHDf7siQLGxnXhG4mBNTNIuy296niS2xXulU/edit?usp=sharing"",""RTK!L16"")"),0)</f>
        <v>0</v>
      </c>
      <c r="K802" s="912"/>
      <c r="L802" s="321"/>
      <c r="M802" s="321"/>
      <c r="N802" s="321"/>
      <c r="O802" s="321"/>
      <c r="P802" s="321"/>
    </row>
    <row r="803" spans="1:16" ht="18.75">
      <c r="A803" s="777"/>
      <c r="B803" s="778"/>
      <c r="C803" s="778"/>
      <c r="D803" s="778"/>
      <c r="E803" s="780"/>
      <c r="F803" s="780"/>
      <c r="G803" s="333"/>
      <c r="H803" s="909" t="s">
        <v>46</v>
      </c>
      <c r="I803" s="911">
        <f ca="1">IFERROR(__xludf.DUMMYFUNCTION("IMPORTRANGE(""https://docs.google.com/spreadsheets/d/1MaWodYyGHDf7siQLGxnXhG4mBNTNIuy296niS2xXulU/edit?usp=sharing"",""RTK!K16"")"),0)</f>
        <v>0</v>
      </c>
      <c r="J803" s="913">
        <f ca="1">IFERROR(__xludf.DUMMYFUNCTION("IMPORTRANGE(""https://docs.google.com/spreadsheets/d/1MaWodYyGHDf7siQLGxnXhG4mBNTNIuy296niS2xXulU/edit?usp=sharing"",""RTK!M16"")"),0)</f>
        <v>0</v>
      </c>
      <c r="K803" s="914">
        <f t="shared" ref="K803:K804" ca="1" si="327">IF(I803&gt;0,J803*100/I803,0)</f>
        <v>0</v>
      </c>
      <c r="L803" s="321"/>
      <c r="M803" s="321"/>
      <c r="N803" s="321"/>
      <c r="O803" s="321"/>
      <c r="P803" s="321"/>
    </row>
    <row r="804" spans="1:1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27"/>
        <v>0</v>
      </c>
      <c r="L804" s="764"/>
      <c r="M804" s="764"/>
      <c r="N804" s="764"/>
      <c r="O804" s="764"/>
      <c r="P804" s="764"/>
    </row>
    <row r="805" spans="1:1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8">L806+L807</f>
        <v>0</v>
      </c>
      <c r="M805" s="613">
        <f t="shared" si="328"/>
        <v>0</v>
      </c>
      <c r="N805" s="613">
        <f t="shared" si="328"/>
        <v>0</v>
      </c>
      <c r="O805" s="613">
        <f t="shared" ref="O805:O810" si="329">IF(L805&gt;0,N805*100/L805,0)</f>
        <v>0</v>
      </c>
      <c r="P805" s="613">
        <f t="shared" ref="P805:P810" si="330">IF(M805&gt;0,N805*100/M805,0)</f>
        <v>0</v>
      </c>
    </row>
    <row r="806" spans="1:1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</row>
    <row r="807" spans="1:1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</row>
    <row r="808" spans="1:1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2">L809+L810</f>
        <v>0</v>
      </c>
      <c r="M808" s="613">
        <f t="shared" si="332"/>
        <v>0</v>
      </c>
      <c r="N808" s="613">
        <f t="shared" si="332"/>
        <v>0</v>
      </c>
      <c r="O808" s="613">
        <f t="shared" si="329"/>
        <v>0</v>
      </c>
      <c r="P808" s="613">
        <f t="shared" si="330"/>
        <v>0</v>
      </c>
    </row>
    <row r="809" spans="1:1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</row>
    <row r="810" spans="1:1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</row>
    <row r="811" spans="1:1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</row>
    <row r="812" spans="1:1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</row>
    <row r="813" spans="1:1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</row>
    <row r="814" spans="1:1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</row>
    <row r="815" spans="1:1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3">L816+L817</f>
        <v>0</v>
      </c>
      <c r="M815" s="613">
        <f t="shared" si="333"/>
        <v>0</v>
      </c>
      <c r="N815" s="613">
        <f t="shared" si="333"/>
        <v>0</v>
      </c>
      <c r="O815" s="613">
        <f t="shared" ref="O815:O817" si="334">IF(L815&gt;0,N815*100/L815,0)</f>
        <v>0</v>
      </c>
      <c r="P815" s="613">
        <f t="shared" ref="P815:P817" si="335">IF(M815&gt;0,N815*100/M815,0)</f>
        <v>0</v>
      </c>
    </row>
    <row r="816" spans="1:1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</row>
    <row r="817" spans="1:1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</row>
    <row r="818" spans="1:1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</row>
    <row r="819" spans="1:1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</row>
    <row r="820" spans="1:1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</row>
    <row r="821" spans="1:1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270">
        <f ca="1">IFERROR(__xludf.DUMMYFUNCTION("IMPORTRANGE(""https://docs.google.com/spreadsheets/d/19vJNZY_5yjcGF2XGBMNZRCAIB0Kwfpjp8YEOfu-bneM/edit?usp=sharing"",""งานกองทุน!F16"")"),388709.01)</f>
        <v>388709.01</v>
      </c>
      <c r="K821" s="466">
        <f t="shared" ref="K821:K828" ca="1" si="336">IF(I821&gt;0,J821*100/I821,0)</f>
        <v>16.659581401353847</v>
      </c>
      <c r="L821" s="466"/>
      <c r="M821" s="466"/>
      <c r="N821" s="466"/>
      <c r="O821" s="466"/>
      <c r="P821" s="466"/>
    </row>
    <row r="822" spans="1:1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IFERROR(__xludf.DUMMYFUNCTION("IMPORTRANGE(""https://docs.google.com/spreadsheets/d/19vJNZY_5yjcGF2XGBMNZRCAIB0Kwfpjp8YEOfu-bneM/edit?usp=sharing"",""งานกองทุน!C16"")"),129)</f>
        <v>129</v>
      </c>
      <c r="J822" s="270">
        <f ca="1">IFERROR(__xludf.DUMMYFUNCTION("IMPORTRANGE(""https://docs.google.com/spreadsheets/d/19vJNZY_5yjcGF2XGBMNZRCAIB0Kwfpjp8YEOfu-bneM/edit?usp=sharing"",""งานกองทุน!E16"")"),21)</f>
        <v>21</v>
      </c>
      <c r="K822" s="466">
        <f t="shared" ca="1" si="336"/>
        <v>16.279069767441861</v>
      </c>
      <c r="L822" s="466"/>
      <c r="M822" s="466"/>
      <c r="N822" s="466"/>
      <c r="O822" s="466"/>
      <c r="P822" s="466"/>
    </row>
    <row r="823" spans="1:1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270">
        <f ca="1">IFERROR(__xludf.DUMMYFUNCTION("IMPORTRANGE(""https://docs.google.com/spreadsheets/d/19vJNZY_5yjcGF2XGBMNZRCAIB0Kwfpjp8YEOfu-bneM/edit?usp=sharing"",""งานกองทุน!K16"")"),25241.46)</f>
        <v>25241.46</v>
      </c>
      <c r="K823" s="466">
        <f t="shared" ca="1" si="336"/>
        <v>3.9703291374488554</v>
      </c>
      <c r="L823" s="466"/>
      <c r="M823" s="466"/>
      <c r="N823" s="466"/>
      <c r="O823" s="466"/>
      <c r="P823" s="466"/>
    </row>
    <row r="824" spans="1:1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IFERROR(__xludf.DUMMYFUNCTION("IMPORTRANGE(""https://docs.google.com/spreadsheets/d/19vJNZY_5yjcGF2XGBMNZRCAIB0Kwfpjp8YEOfu-bneM/edit?usp=sharing"",""งานกองทุน!H16"")"),39)</f>
        <v>39</v>
      </c>
      <c r="J824" s="270">
        <f ca="1">IFERROR(__xludf.DUMMYFUNCTION("IMPORTRANGE(""https://docs.google.com/spreadsheets/d/19vJNZY_5yjcGF2XGBMNZRCAIB0Kwfpjp8YEOfu-bneM/edit?usp=sharing"",""งานกองทุน!J16"")"),16)</f>
        <v>16</v>
      </c>
      <c r="K824" s="466">
        <f t="shared" ca="1" si="336"/>
        <v>41.025641025641029</v>
      </c>
      <c r="L824" s="466"/>
      <c r="M824" s="466"/>
      <c r="N824" s="466"/>
      <c r="O824" s="466"/>
      <c r="P824" s="466"/>
    </row>
    <row r="825" spans="1:1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IFERROR(__xludf.DUMMYFUNCTION("IMPORTRANGE(""https://docs.google.com/spreadsheets/d/19vJNZY_5yjcGF2XGBMNZRCAIB0Kwfpjp8YEOfu-bneM/edit?usp=sharing"",""งานกองทุน!N16"")"),76628.37)</f>
        <v>76628.37</v>
      </c>
      <c r="J825" s="270">
        <f ca="1">IFERROR(__xludf.DUMMYFUNCTION("IMPORTRANGE(""https://docs.google.com/spreadsheets/d/19vJNZY_5yjcGF2XGBMNZRCAIB0Kwfpjp8YEOfu-bneM/edit?usp=sharing"",""งานกองทุน!P16"")"),10435.76)</f>
        <v>10435.76</v>
      </c>
      <c r="K825" s="466">
        <f t="shared" ca="1" si="336"/>
        <v>13.618663688135348</v>
      </c>
      <c r="L825" s="466"/>
      <c r="M825" s="466"/>
      <c r="N825" s="466"/>
      <c r="O825" s="466"/>
      <c r="P825" s="466"/>
    </row>
    <row r="826" spans="1:1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IFERROR(__xludf.DUMMYFUNCTION("IMPORTRANGE(""https://docs.google.com/spreadsheets/d/19vJNZY_5yjcGF2XGBMNZRCAIB0Kwfpjp8YEOfu-bneM/edit?usp=sharing"",""งานกองทุน!M16"")"),21)</f>
        <v>21</v>
      </c>
      <c r="J826" s="270">
        <f ca="1">IFERROR(__xludf.DUMMYFUNCTION("IMPORTRANGE(""https://docs.google.com/spreadsheets/d/19vJNZY_5yjcGF2XGBMNZRCAIB0Kwfpjp8YEOfu-bneM/edit?usp=sharing"",""งานกองทุน!O16"")"),3)</f>
        <v>3</v>
      </c>
      <c r="K826" s="466">
        <f t="shared" ca="1" si="336"/>
        <v>14.285714285714286</v>
      </c>
      <c r="L826" s="466"/>
      <c r="M826" s="466"/>
      <c r="N826" s="466"/>
      <c r="O826" s="466"/>
      <c r="P826" s="466"/>
    </row>
    <row r="827" spans="1:1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IFERROR(__xludf.DUMMYFUNCTION("IMPORTRANGE(""https://docs.google.com/spreadsheets/d/19vJNZY_5yjcGF2XGBMNZRCAIB0Kwfpjp8YEOfu-bneM/edit?usp=sharing"",""งานกองทุน!S16"")"),2330000)</f>
        <v>2330000</v>
      </c>
      <c r="J827" s="270">
        <f ca="1">IFERROR(__xludf.DUMMYFUNCTION("IMPORTRANGE(""https://docs.google.com/spreadsheets/d/19vJNZY_5yjcGF2XGBMNZRCAIB0Kwfpjp8YEOfu-bneM/edit?usp=sharing"",""งานกองทุน!U16"")"),615000)</f>
        <v>615000</v>
      </c>
      <c r="K827" s="466">
        <f t="shared" ca="1" si="336"/>
        <v>26.394849785407725</v>
      </c>
      <c r="L827" s="466"/>
      <c r="M827" s="466"/>
      <c r="N827" s="466"/>
      <c r="O827" s="466"/>
      <c r="P827" s="466"/>
    </row>
    <row r="828" spans="1:1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IFERROR(__xludf.DUMMYFUNCTION("IMPORTRANGE(""https://docs.google.com/spreadsheets/d/19vJNZY_5yjcGF2XGBMNZRCAIB0Kwfpjp8YEOfu-bneM/edit?usp=sharing"",""งานกองทุน!R16"")"),93)</f>
        <v>93</v>
      </c>
      <c r="J828" s="469">
        <f ca="1">IFERROR(__xludf.DUMMYFUNCTION("IMPORTRANGE(""https://docs.google.com/spreadsheets/d/19vJNZY_5yjcGF2XGBMNZRCAIB0Kwfpjp8YEOfu-bneM/edit?usp=sharing"",""งานกองทุน!T16"")"),20)</f>
        <v>20</v>
      </c>
      <c r="K828" s="470">
        <f t="shared" ca="1" si="336"/>
        <v>21.50537634408602</v>
      </c>
      <c r="L828" s="470"/>
      <c r="M828" s="470"/>
      <c r="N828" s="470"/>
      <c r="O828" s="470"/>
      <c r="P828" s="470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24F8-FAEA-45EE-96D8-0D0334FBDE4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6.85546875" style="801" bestFit="1" customWidth="1"/>
    <col min="10" max="10" width="14.4257812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336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4374958</v>
      </c>
      <c r="M8" s="22">
        <f t="shared" ca="1" si="0"/>
        <v>1707575</v>
      </c>
      <c r="N8" s="22">
        <f t="shared" ca="1" si="0"/>
        <v>1263098.6599999999</v>
      </c>
      <c r="O8" s="22">
        <f t="shared" ref="O8:O16" ca="1" si="1">IF(L8&gt;0,N8*100/L8,0)</f>
        <v>28.87110367688101</v>
      </c>
      <c r="P8" s="22">
        <f t="shared" ref="P8:P16" ca="1" si="2">IF(M8&gt;0,N8*100/M8,0)</f>
        <v>73.970318141223657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4374958</v>
      </c>
      <c r="M10" s="30">
        <f t="shared" ca="1" si="3"/>
        <v>1707575</v>
      </c>
      <c r="N10" s="30">
        <f t="shared" ca="1" si="3"/>
        <v>1263098.6599999999</v>
      </c>
      <c r="O10" s="30">
        <f t="shared" ca="1" si="1"/>
        <v>28.87110367688101</v>
      </c>
      <c r="P10" s="30">
        <f t="shared" ca="1" si="2"/>
        <v>73.970318141223657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4171458</v>
      </c>
      <c r="M11" s="466">
        <f t="shared" ca="1" si="4"/>
        <v>1513095</v>
      </c>
      <c r="N11" s="466">
        <f t="shared" ca="1" si="4"/>
        <v>1068618.6599999999</v>
      </c>
      <c r="O11" s="466">
        <f t="shared" ca="1" si="1"/>
        <v>25.617389891016519</v>
      </c>
      <c r="P11" s="466">
        <f t="shared" ca="1" si="2"/>
        <v>70.624690452350961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4171458</v>
      </c>
      <c r="M13" s="93">
        <f t="shared" ca="1" si="5"/>
        <v>1513095</v>
      </c>
      <c r="N13" s="93">
        <f t="shared" ca="1" si="5"/>
        <v>1068618.6599999999</v>
      </c>
      <c r="O13" s="93">
        <f t="shared" ca="1" si="1"/>
        <v>25.617389891016519</v>
      </c>
      <c r="P13" s="93">
        <f t="shared" ca="1" si="2"/>
        <v>70.624690452350961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203500</v>
      </c>
      <c r="M14" s="466">
        <f t="shared" ca="1" si="6"/>
        <v>194480</v>
      </c>
      <c r="N14" s="466">
        <f t="shared" ca="1" si="6"/>
        <v>194480</v>
      </c>
      <c r="O14" s="466">
        <f t="shared" ca="1" si="1"/>
        <v>95.567567567567565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203500</v>
      </c>
      <c r="M16" s="52">
        <f t="shared" ca="1" si="7"/>
        <v>194480</v>
      </c>
      <c r="N16" s="52">
        <f t="shared" ca="1" si="7"/>
        <v>194480</v>
      </c>
      <c r="O16" s="52">
        <f t="shared" ca="1" si="1"/>
        <v>95.567567567567565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3106670</v>
      </c>
      <c r="M18" s="22">
        <f t="shared" ca="1" si="8"/>
        <v>1707575</v>
      </c>
      <c r="N18" s="22">
        <f t="shared" ca="1" si="8"/>
        <v>1084758.46</v>
      </c>
      <c r="O18" s="22">
        <f t="shared" ref="O18:O26" ca="1" si="9">IF(L18&gt;0,N18*100/L18,0)</f>
        <v>34.917080346480311</v>
      </c>
      <c r="P18" s="22">
        <f t="shared" ref="P18:P26" ca="1" si="10">IF(M18&gt;0,N18*100/M18,0)</f>
        <v>63.526255654949267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3106670</v>
      </c>
      <c r="M20" s="30">
        <f t="shared" ca="1" si="11"/>
        <v>1707575</v>
      </c>
      <c r="N20" s="30">
        <f t="shared" ca="1" si="11"/>
        <v>1084758.46</v>
      </c>
      <c r="O20" s="30">
        <f t="shared" ca="1" si="9"/>
        <v>34.917080346480311</v>
      </c>
      <c r="P20" s="30">
        <f t="shared" ca="1" si="10"/>
        <v>63.526255654949267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2903170</v>
      </c>
      <c r="M21" s="466">
        <f t="shared" ca="1" si="12"/>
        <v>1513095</v>
      </c>
      <c r="N21" s="466">
        <f t="shared" ca="1" si="12"/>
        <v>890278.46</v>
      </c>
      <c r="O21" s="466">
        <f t="shared" ca="1" si="9"/>
        <v>30.665736419155614</v>
      </c>
      <c r="P21" s="466">
        <f t="shared" ca="1" si="10"/>
        <v>58.838239502476711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2903170</v>
      </c>
      <c r="M23" s="93">
        <f t="shared" ca="1" si="13"/>
        <v>1513095</v>
      </c>
      <c r="N23" s="93">
        <f t="shared" ca="1" si="13"/>
        <v>890278.46</v>
      </c>
      <c r="O23" s="93">
        <f t="shared" ca="1" si="9"/>
        <v>30.665736419155614</v>
      </c>
      <c r="P23" s="93">
        <f t="shared" ca="1" si="10"/>
        <v>58.838239502476711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203500</v>
      </c>
      <c r="M24" s="466">
        <f t="shared" ca="1" si="14"/>
        <v>194480</v>
      </c>
      <c r="N24" s="466">
        <f t="shared" ca="1" si="14"/>
        <v>194480</v>
      </c>
      <c r="O24" s="466">
        <f t="shared" ca="1" si="9"/>
        <v>95.567567567567565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203500</v>
      </c>
      <c r="M26" s="52">
        <f t="shared" ca="1" si="15"/>
        <v>194480</v>
      </c>
      <c r="N26" s="52">
        <f t="shared" ca="1" si="15"/>
        <v>194480</v>
      </c>
      <c r="O26" s="52">
        <f t="shared" ca="1" si="9"/>
        <v>95.567567567567565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1268288</v>
      </c>
      <c r="M28" s="22">
        <f t="shared" si="16"/>
        <v>0</v>
      </c>
      <c r="N28" s="22">
        <f t="shared" si="16"/>
        <v>178340.2</v>
      </c>
      <c r="O28" s="22">
        <f t="shared" ref="O28:O37" ca="1" si="17">IF(L28&gt;0,N28*100/L28,0)</f>
        <v>14.061490765504365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1268288</v>
      </c>
      <c r="M30" s="30">
        <f t="shared" si="19"/>
        <v>0</v>
      </c>
      <c r="N30" s="30">
        <f t="shared" si="19"/>
        <v>178340.2</v>
      </c>
      <c r="O30" s="30">
        <f t="shared" ca="1" si="17"/>
        <v>14.061490765504365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1268288</v>
      </c>
      <c r="M31" s="466">
        <f t="shared" si="20"/>
        <v>0</v>
      </c>
      <c r="N31" s="466">
        <f t="shared" si="20"/>
        <v>178340.2</v>
      </c>
      <c r="O31" s="466">
        <f t="shared" ca="1" si="17"/>
        <v>14.061490765504365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1268288</v>
      </c>
      <c r="M33" s="93">
        <f t="shared" si="21"/>
        <v>0</v>
      </c>
      <c r="N33" s="93">
        <f t="shared" si="21"/>
        <v>178340.2</v>
      </c>
      <c r="O33" s="93">
        <f t="shared" ca="1" si="17"/>
        <v>14.061490765504365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3106670</v>
      </c>
      <c r="M37" s="832">
        <f t="shared" ca="1" si="24"/>
        <v>1707575</v>
      </c>
      <c r="N37" s="832">
        <f t="shared" ca="1" si="24"/>
        <v>1084758.46</v>
      </c>
      <c r="O37" s="832">
        <f t="shared" ca="1" si="17"/>
        <v>34.917080346480311</v>
      </c>
      <c r="P37" s="832">
        <f t="shared" ca="1" si="18"/>
        <v>63.526255654949267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405400</v>
      </c>
      <c r="M41" s="85">
        <f t="shared" ca="1" si="25"/>
        <v>214400</v>
      </c>
      <c r="N41" s="85">
        <f t="shared" ca="1" si="25"/>
        <v>147146</v>
      </c>
      <c r="O41" s="85">
        <f t="shared" ref="O41:O49" ca="1" si="26">IF(L41&gt;0,N41*100/L41,0)</f>
        <v>36.29649728663049</v>
      </c>
      <c r="P41" s="85">
        <f t="shared" ref="P41:P49" ca="1" si="27">IF(M41&gt;0,N41*100/M41,0)</f>
        <v>68.631529850746276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405400</v>
      </c>
      <c r="M43" s="92">
        <f t="shared" ca="1" si="28"/>
        <v>214400</v>
      </c>
      <c r="N43" s="92">
        <f t="shared" ca="1" si="28"/>
        <v>147146</v>
      </c>
      <c r="O43" s="92">
        <f t="shared" ca="1" si="26"/>
        <v>36.29649728663049</v>
      </c>
      <c r="P43" s="92">
        <f t="shared" ca="1" si="27"/>
        <v>68.631529850746276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405400</v>
      </c>
      <c r="M44" s="466">
        <f t="shared" ca="1" si="29"/>
        <v>214400</v>
      </c>
      <c r="N44" s="466">
        <f t="shared" ca="1" si="29"/>
        <v>147146</v>
      </c>
      <c r="O44" s="466">
        <f t="shared" ca="1" si="26"/>
        <v>36.29649728663049</v>
      </c>
      <c r="P44" s="466">
        <f t="shared" ca="1" si="27"/>
        <v>68.631529850746276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IFERROR(__xludf.DUMMYFUNCTION("IMPORTRANGE(""https://docs.google.com/spreadsheets/d/1MeEWN-I1oV_STSDYn1IFDPWt_1FKiwhDph83XaGc0o0/edit?usp=sharing"",""งบพรบ!M17"")"),405400)</f>
        <v>405400</v>
      </c>
      <c r="M46" s="93">
        <f ca="1">IFERROR(__xludf.DUMMYFUNCTION("IMPORTRANGE(""https://docs.google.com/spreadsheets/d/1MeEWN-I1oV_STSDYn1IFDPWt_1FKiwhDph83XaGc0o0/edit?usp=sharing"",""งบพรบ!R17"")"),214400)</f>
        <v>214400</v>
      </c>
      <c r="N46" s="93">
        <f ca="1">IFERROR(__xludf.DUMMYFUNCTION("IMPORTRANGE(""https://docs.google.com/spreadsheets/d/1MeEWN-I1oV_STSDYn1IFDPWt_1FKiwhDph83XaGc0o0/edit?usp=sharing"",""งบพรบ!T17"")"),147146)</f>
        <v>147146</v>
      </c>
      <c r="O46" s="93">
        <f t="shared" ca="1" si="26"/>
        <v>36.29649728663049</v>
      </c>
      <c r="P46" s="93">
        <f t="shared" ca="1" si="27"/>
        <v>68.631529850746276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IFERROR(__xludf.DUMMYFUNCTION("IMPORTRANGE(""https://docs.google.com/spreadsheets/d/1MeEWN-I1oV_STSDYn1IFDPWt_1FKiwhDph83XaGc0o0/edit?usp=sharing"",""งบพรบ!P17"")"),0)</f>
        <v>0</v>
      </c>
      <c r="M49" s="52">
        <f ca="1">IFERROR(__xludf.DUMMYFUNCTION("IMPORTRANGE(""https://docs.google.com/spreadsheets/d/1MeEWN-I1oV_STSDYn1IFDPWt_1FKiwhDph83XaGc0o0/edit?usp=sharing"",""งบพรบ!S17"")"),0)</f>
        <v>0</v>
      </c>
      <c r="N49" s="52">
        <f ca="1">IFERROR(__xludf.DUMMYFUNCTION("IMPORTRANGE(""https://docs.google.com/spreadsheets/d/1MeEWN-I1oV_STSDYn1IFDPWt_1FKiwhDph83XaGc0o0/edit?usp=sharing"",""งบพรบ!U17"")"),0)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724500</v>
      </c>
      <c r="M53" s="116">
        <f t="shared" ca="1" si="31"/>
        <v>371200</v>
      </c>
      <c r="N53" s="116">
        <f t="shared" ca="1" si="31"/>
        <v>264715.45999999996</v>
      </c>
      <c r="O53" s="116">
        <f t="shared" ref="O53:O61" ca="1" si="32">IF(L53&gt;0,N53*100/L53,0)</f>
        <v>36.537675638371283</v>
      </c>
      <c r="P53" s="116">
        <f t="shared" ref="P53:P61" ca="1" si="33">IF(M53&gt;0,N53*100/M53,0)</f>
        <v>71.313432112068952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724500</v>
      </c>
      <c r="M55" s="123">
        <f t="shared" ca="1" si="34"/>
        <v>371200</v>
      </c>
      <c r="N55" s="123">
        <f t="shared" ca="1" si="34"/>
        <v>264715.45999999996</v>
      </c>
      <c r="O55" s="123">
        <f t="shared" ca="1" si="32"/>
        <v>36.537675638371283</v>
      </c>
      <c r="P55" s="123">
        <f t="shared" ca="1" si="33"/>
        <v>71.313432112068952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696600</v>
      </c>
      <c r="M56" s="466">
        <f t="shared" ca="1" si="35"/>
        <v>348300</v>
      </c>
      <c r="N56" s="466">
        <f t="shared" ca="1" si="35"/>
        <v>241815.46</v>
      </c>
      <c r="O56" s="466">
        <f t="shared" ca="1" si="32"/>
        <v>34.713674992822277</v>
      </c>
      <c r="P56" s="466">
        <f t="shared" ca="1" si="33"/>
        <v>69.427349985644554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IFERROR(__xludf.DUMMYFUNCTION("IMPORTRANGE(""https://docs.google.com/spreadsheets/d/1MeEWN-I1oV_STSDYn1IFDPWt_1FKiwhDph83XaGc0o0/edit?usp=sharing"",""งบพรบ!W17"")"),696600)</f>
        <v>696600</v>
      </c>
      <c r="M58" s="93">
        <f ca="1">IFERROR(__xludf.DUMMYFUNCTION("IMPORTRANGE(""https://docs.google.com/spreadsheets/d/1MeEWN-I1oV_STSDYn1IFDPWt_1FKiwhDph83XaGc0o0/edit?usp=sharing"",""งบพรบ!AB17"")"),348300)</f>
        <v>348300</v>
      </c>
      <c r="N58" s="93">
        <f ca="1">IFERROR(__xludf.DUMMYFUNCTION("IMPORTRANGE(""https://docs.google.com/spreadsheets/d/1MeEWN-I1oV_STSDYn1IFDPWt_1FKiwhDph83XaGc0o0/edit?usp=sharing"",""งบพรบ!AD17"")"),241815.46)</f>
        <v>241815.46</v>
      </c>
      <c r="O58" s="93">
        <f t="shared" ca="1" si="32"/>
        <v>34.713674992822277</v>
      </c>
      <c r="P58" s="93">
        <f t="shared" ca="1" si="33"/>
        <v>69.427349985644554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27900</v>
      </c>
      <c r="M59" s="466">
        <f t="shared" ca="1" si="36"/>
        <v>22900</v>
      </c>
      <c r="N59" s="466">
        <f t="shared" ca="1" si="36"/>
        <v>22900</v>
      </c>
      <c r="O59" s="466">
        <f t="shared" ca="1" si="32"/>
        <v>82.078853046594986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IFERROR(__xludf.DUMMYFUNCTION("IMPORTRANGE(""https://docs.google.com/spreadsheets/d/1MeEWN-I1oV_STSDYn1IFDPWt_1FKiwhDph83XaGc0o0/edit?usp=sharing"",""งบพรบ!Z17"")"),27900)</f>
        <v>27900</v>
      </c>
      <c r="M61" s="52">
        <f ca="1">IFERROR(__xludf.DUMMYFUNCTION("IMPORTRANGE(""https://docs.google.com/spreadsheets/d/1MeEWN-I1oV_STSDYn1IFDPWt_1FKiwhDph83XaGc0o0/edit?usp=sharing"",""งบพรบ!AC17"")"),22900)</f>
        <v>22900</v>
      </c>
      <c r="N61" s="52">
        <f ca="1">IFERROR(__xludf.DUMMYFUNCTION("IMPORTRANGE(""https://docs.google.com/spreadsheets/d/1MeEWN-I1oV_STSDYn1IFDPWt_1FKiwhDph83XaGc0o0/edit?usp=sharing"",""งบพรบ!AE17"")"),22900)</f>
        <v>22900</v>
      </c>
      <c r="O61" s="52">
        <f t="shared" ca="1" si="32"/>
        <v>82.078853046594986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IFERROR(__xludf.DUMMYFUNCTION("IMPORTRANGE(""https://docs.google.com/spreadsheets/d/1MeEWN-I1oV_STSDYn1IFDPWt_1FKiwhDph83XaGc0o0/edit?usp=sharing"",""งบพรบ!AG17"")"),0)</f>
        <v>0</v>
      </c>
      <c r="M71" s="93">
        <f ca="1">IFERROR(__xludf.DUMMYFUNCTION("IMPORTRANGE(""https://docs.google.com/spreadsheets/d/1MeEWN-I1oV_STSDYn1IFDPWt_1FKiwhDph83XaGc0o0/edit?usp=sharing"",""งบพรบ!AL17"")"),0)</f>
        <v>0</v>
      </c>
      <c r="N71" s="93">
        <f ca="1">IFERROR(__xludf.DUMMYFUNCTION("IMPORTRANGE(""https://docs.google.com/spreadsheets/d/1MeEWN-I1oV_STSDYn1IFDPWt_1FKiwhDph83XaGc0o0/edit?usp=sharing"",""งบพรบ!AN17"")"),0)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IFERROR(__xludf.DUMMYFUNCTION("IMPORTRANGE(""https://docs.google.com/spreadsheets/d/1MeEWN-I1oV_STSDYn1IFDPWt_1FKiwhDph83XaGc0o0/edit?usp=sharing"",""งบพรบ!AJ17"")"),0)</f>
        <v>0</v>
      </c>
      <c r="M74" s="93">
        <f ca="1">IFERROR(__xludf.DUMMYFUNCTION("IMPORTRANGE(""https://docs.google.com/spreadsheets/d/1MeEWN-I1oV_STSDYn1IFDPWt_1FKiwhDph83XaGc0o0/edit?usp=sharing"",""งบพรบ!AM17"")"),0)</f>
        <v>0</v>
      </c>
      <c r="N74" s="93">
        <f ca="1">IFERROR(__xludf.DUMMYFUNCTION("IMPORTRANGE(""https://docs.google.com/spreadsheets/d/1MeEWN-I1oV_STSDYn1IFDPWt_1FKiwhDph83XaGc0o0/edit?usp=sharing"",""งบพรบ!AO17"")"),0)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IFERROR(__xludf.DUMMYFUNCTION("IMPORTRANGE(""https://docs.google.com/spreadsheets/d/1QqKyyYR6Q21VydFLVH3TRQUabQu_ym0Zz7PgGX0-kHA/edit?usp=sharing"",""แผน!J17"")"),0)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44905</v>
      </c>
      <c r="O88" s="155">
        <f t="shared" ref="O88:O96" ca="1" si="50">IF(L88&gt;0,N88*100/L88,0)</f>
        <v>80.130264097073521</v>
      </c>
      <c r="P88" s="155">
        <f t="shared" ref="P88:P96" ca="1" si="51">IF(M88&gt;0,N88*100/M88,0)</f>
        <v>87.722211369408086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44905</v>
      </c>
      <c r="O90" s="93">
        <f t="shared" ca="1" si="50"/>
        <v>80.130264097073521</v>
      </c>
      <c r="P90" s="93">
        <f t="shared" ca="1" si="51"/>
        <v>87.722211369408086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56040</v>
      </c>
      <c r="M91" s="466">
        <f t="shared" ca="1" si="53"/>
        <v>51190</v>
      </c>
      <c r="N91" s="466">
        <f t="shared" ca="1" si="53"/>
        <v>44905</v>
      </c>
      <c r="O91" s="466">
        <f t="shared" ca="1" si="50"/>
        <v>80.130264097073521</v>
      </c>
      <c r="P91" s="466">
        <f t="shared" ca="1" si="51"/>
        <v>87.722211369408086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IFERROR(__xludf.DUMMYFUNCTION("IMPORTRANGE(""https://docs.google.com/spreadsheets/d/1MeEWN-I1oV_STSDYn1IFDPWt_1FKiwhDph83XaGc0o0/edit?usp=sharing"",""งบพรบ!AQ17"")"),56040)</f>
        <v>56040</v>
      </c>
      <c r="M93" s="93">
        <f ca="1">IFERROR(__xludf.DUMMYFUNCTION("IMPORTRANGE(""https://docs.google.com/spreadsheets/d/1MeEWN-I1oV_STSDYn1IFDPWt_1FKiwhDph83XaGc0o0/edit?usp=sharing"",""งบพรบ!AV17"")"),51190)</f>
        <v>51190</v>
      </c>
      <c r="N93" s="93">
        <f ca="1">IFERROR(__xludf.DUMMYFUNCTION("IMPORTRANGE(""https://docs.google.com/spreadsheets/d/1MeEWN-I1oV_STSDYn1IFDPWt_1FKiwhDph83XaGc0o0/edit?usp=sharing"",""งบพรบ!AX17"")"),44905)</f>
        <v>44905</v>
      </c>
      <c r="O93" s="93">
        <f t="shared" ca="1" si="50"/>
        <v>80.130264097073521</v>
      </c>
      <c r="P93" s="93">
        <f t="shared" ca="1" si="51"/>
        <v>87.722211369408086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IFERROR(__xludf.DUMMYFUNCTION("IMPORTRANGE(""https://docs.google.com/spreadsheets/d/1MeEWN-I1oV_STSDYn1IFDPWt_1FKiwhDph83XaGc0o0/edit?usp=sharing"",""งบพรบ!AT17"")"),0)</f>
        <v>0</v>
      </c>
      <c r="M96" s="93">
        <f ca="1">IFERROR(__xludf.DUMMYFUNCTION("IMPORTRANGE(""https://docs.google.com/spreadsheets/d/1MeEWN-I1oV_STSDYn1IFDPWt_1FKiwhDph83XaGc0o0/edit?usp=sharing"",""งบพรบ!AW17"")"),0)</f>
        <v>0</v>
      </c>
      <c r="N96" s="93">
        <f ca="1">IFERROR(__xludf.DUMMYFUNCTION("IMPORTRANGE(""https://docs.google.com/spreadsheets/d/1MeEWN-I1oV_STSDYn1IFDPWt_1FKiwhDph83XaGc0o0/edit?usp=sharing"",""งบพรบ!AY17"")"),0)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IFERROR(__xludf.DUMMYFUNCTION("IMPORTRANGE(""https://docs.google.com/spreadsheets/d/1QqKyyYR6Q21VydFLVH3TRQUabQu_ym0Zz7PgGX0-kHA/edit?usp=sharing"",""แผน!M17"")"),1)</f>
        <v>1</v>
      </c>
      <c r="J100" s="270">
        <f>J107+J110</f>
        <v>1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IFERROR(__xludf.DUMMYFUNCTION("IMPORTRANGE(""https://docs.google.com/spreadsheets/d/1QqKyyYR6Q21VydFLVH3TRQUabQu_ym0Zz7PgGX0-kHA/edit?usp=sharing"",""แผน!P17"")"),0)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IFERROR(__xludf.DUMMYFUNCTION("IMPORTRANGE(""https://docs.google.com/spreadsheets/d/1QqKyyYR6Q21VydFLVH3TRQUabQu_ym0Zz7PgGX0-kHA/edit?usp=sharing"",""แผน!P17"")"),0)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IFERROR(__xludf.DUMMYFUNCTION("IMPORTRANGE(""https://docs.google.com/spreadsheets/d/1QqKyyYR6Q21VydFLVH3TRQUabQu_ym0Zz7PgGX0-kHA/edit?usp=sharing"",""แผน!Q17"")"),1)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IFERROR(__xludf.DUMMYFUNCTION("IMPORTRANGE(""https://docs.google.com/spreadsheets/d/1QqKyyYR6Q21VydFLVH3TRQUabQu_ym0Zz7PgGX0-kHA/edit?usp=sharing"",""แผน!Q17"")"),1)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IFERROR(__xludf.DUMMYFUNCTION("IMPORTRANGE(""https://docs.google.com/spreadsheets/d/1QqKyyYR6Q21VydFLVH3TRQUabQu_ym0Zz7PgGX0-kHA/edit?usp=sharing"",""แผน!R17"")"),10)</f>
        <v>10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1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IFERROR(__xludf.DUMMYFUNCTION("IMPORTRANGE(""https://docs.google.com/spreadsheets/d/1QqKyyYR6Q21VydFLVH3TRQUabQu_ym0Zz7PgGX0-kHA/edit?usp=sharing"",""แผน!S17"")"),0)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IFERROR(__xludf.DUMMYFUNCTION("IMPORTRANGE(""https://docs.google.com/spreadsheets/d/1QqKyyYR6Q21VydFLVH3TRQUabQu_ym0Zz7PgGX0-kHA/edit?usp=sharing"",""แผน!T17"")"),1)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IFERROR(__xludf.DUMMYFUNCTION("IMPORTRANGE(""https://docs.google.com/spreadsheets/d/1MeEWN-I1oV_STSDYn1IFDPWt_1FKiwhDph83XaGc0o0/edit?usp=sharing"",""งบพรบ!BA17"")"),0)</f>
        <v>0</v>
      </c>
      <c r="M124" s="93">
        <f ca="1">IFERROR(__xludf.DUMMYFUNCTION("IMPORTRANGE(""https://docs.google.com/spreadsheets/d/1MeEWN-I1oV_STSDYn1IFDPWt_1FKiwhDph83XaGc0o0/edit?usp=sharing"",""งบพรบ!BF17"")"),0)</f>
        <v>0</v>
      </c>
      <c r="N124" s="93">
        <f ca="1">IFERROR(__xludf.DUMMYFUNCTION("IMPORTRANGE(""https://docs.google.com/spreadsheets/d/1MeEWN-I1oV_STSDYn1IFDPWt_1FKiwhDph83XaGc0o0/edit?usp=sharing"",""งบพรบ!BH17"")"),0)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IFERROR(__xludf.DUMMYFUNCTION("IMPORTRANGE(""https://docs.google.com/spreadsheets/d/1MeEWN-I1oV_STSDYn1IFDPWt_1FKiwhDph83XaGc0o0/edit?usp=sharing"",""งบพรบ!BD17"")"),0)</f>
        <v>0</v>
      </c>
      <c r="M127" s="93">
        <f ca="1">IFERROR(__xludf.DUMMYFUNCTION("IMPORTRANGE(""https://docs.google.com/spreadsheets/d/1MeEWN-I1oV_STSDYn1IFDPWt_1FKiwhDph83XaGc0o0/edit?usp=sharing"",""งบพรบ!BG17"")"),0)</f>
        <v>0</v>
      </c>
      <c r="N127" s="93">
        <f ca="1">IFERROR(__xludf.DUMMYFUNCTION("IMPORTRANGE(""https://docs.google.com/spreadsheets/d/1MeEWN-I1oV_STSDYn1IFDPWt_1FKiwhDph83XaGc0o0/edit?usp=sharing"",""งบพรบ!BI17"")"),0)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174400</v>
      </c>
      <c r="N132" s="155">
        <f t="shared" ca="1" si="69"/>
        <v>129989</v>
      </c>
      <c r="O132" s="155">
        <f t="shared" ref="O132:O140" ca="1" si="70">IF(L132&gt;0,N132*100/L132,0)</f>
        <v>54.330734989864368</v>
      </c>
      <c r="P132" s="155">
        <f t="shared" ref="P132:P140" ca="1" si="71">IF(M132&gt;0,N132*100/M132,0)</f>
        <v>74.534977064220186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239255</v>
      </c>
      <c r="M134" s="93">
        <f t="shared" ca="1" si="72"/>
        <v>174400</v>
      </c>
      <c r="N134" s="93">
        <f t="shared" ca="1" si="72"/>
        <v>129989</v>
      </c>
      <c r="O134" s="93">
        <f t="shared" ca="1" si="70"/>
        <v>54.330734989864368</v>
      </c>
      <c r="P134" s="93">
        <f t="shared" ca="1" si="71"/>
        <v>74.534977064220186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74400</v>
      </c>
      <c r="N135" s="466">
        <f t="shared" ca="1" si="73"/>
        <v>29989</v>
      </c>
      <c r="O135" s="466">
        <f t="shared" ca="1" si="70"/>
        <v>22.009467542475505</v>
      </c>
      <c r="P135" s="466">
        <f t="shared" ca="1" si="71"/>
        <v>40.307795698924728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IFERROR(__xludf.DUMMYFUNCTION("IMPORTRANGE(""https://docs.google.com/spreadsheets/d/1MeEWN-I1oV_STSDYn1IFDPWt_1FKiwhDph83XaGc0o0/edit?usp=sharing"",""งบพรบ!BK17"")"),136255)</f>
        <v>136255</v>
      </c>
      <c r="M137" s="93">
        <f ca="1">IFERROR(__xludf.DUMMYFUNCTION("IMPORTRANGE(""https://docs.google.com/spreadsheets/d/1MeEWN-I1oV_STSDYn1IFDPWt_1FKiwhDph83XaGc0o0/edit?usp=sharing"",""งบพรบ!BP17"")"),74400)</f>
        <v>74400</v>
      </c>
      <c r="N137" s="93">
        <f ca="1">IFERROR(__xludf.DUMMYFUNCTION("IMPORTRANGE(""https://docs.google.com/spreadsheets/d/1MeEWN-I1oV_STSDYn1IFDPWt_1FKiwhDph83XaGc0o0/edit?usp=sharing"",""งบพรบ!BR17"")"),29989)</f>
        <v>29989</v>
      </c>
      <c r="O137" s="93">
        <f t="shared" ca="1" si="70"/>
        <v>22.009467542475505</v>
      </c>
      <c r="P137" s="93">
        <f t="shared" ca="1" si="71"/>
        <v>40.307795698924728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100000</v>
      </c>
      <c r="N138" s="466">
        <f t="shared" ca="1" si="74"/>
        <v>100000</v>
      </c>
      <c r="O138" s="466">
        <f t="shared" ca="1" si="70"/>
        <v>97.087378640776706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IFERROR(__xludf.DUMMYFUNCTION("IMPORTRANGE(""https://docs.google.com/spreadsheets/d/1MeEWN-I1oV_STSDYn1IFDPWt_1FKiwhDph83XaGc0o0/edit?usp=sharing"",""งบพรบ!BN17"")"),103000)</f>
        <v>103000</v>
      </c>
      <c r="M140" s="93">
        <f ca="1">IFERROR(__xludf.DUMMYFUNCTION("IMPORTRANGE(""https://docs.google.com/spreadsheets/d/1MeEWN-I1oV_STSDYn1IFDPWt_1FKiwhDph83XaGc0o0/edit?usp=sharing"",""งบพรบ!BQ17"")"),100000)</f>
        <v>100000</v>
      </c>
      <c r="N140" s="93">
        <f ca="1">IFERROR(__xludf.DUMMYFUNCTION("IMPORTRANGE(""https://docs.google.com/spreadsheets/d/1MeEWN-I1oV_STSDYn1IFDPWt_1FKiwhDph83XaGc0o0/edit?usp=sharing"",""งบพรบ!BS17"")"),100000)</f>
        <v>100000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IFERROR(__xludf.DUMMYFUNCTION("IMPORTRANGE(""https://docs.google.com/spreadsheets/d/1QqKyyYR6Q21VydFLVH3TRQUabQu_ym0Zz7PgGX0-kHA/edit?usp=sharing"",""แผน!U17"")"),5)</f>
        <v>5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IFERROR(__xludf.DUMMYFUNCTION("IMPORTRANGE(""https://docs.google.com/spreadsheets/d/1QqKyyYR6Q21VydFLVH3TRQUabQu_ym0Zz7PgGX0-kHA/edit?usp=sharing"",""แผน!V17"")"),10)</f>
        <v>10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IFERROR(__xludf.DUMMYFUNCTION("IMPORTRANGE(""https://docs.google.com/spreadsheets/d/1QqKyyYR6Q21VydFLVH3TRQUabQu_ym0Zz7PgGX0-kHA/edit?usp=sharing"",""แผน!W17"")"),1)</f>
        <v>1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11360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11360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11360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IFERROR(__xludf.DUMMYFUNCTION("IMPORTRANGE(""https://docs.google.com/spreadsheets/d/1MeEWN-I1oV_STSDYn1IFDPWt_1FKiwhDph83XaGc0o0/edit?usp=sharing"",""งบพรบ!BU17"")"),10000)</f>
        <v>10000</v>
      </c>
      <c r="M154" s="93">
        <f ca="1">IFERROR(__xludf.DUMMYFUNCTION("IMPORTRANGE(""https://docs.google.com/spreadsheets/d/1MeEWN-I1oV_STSDYn1IFDPWt_1FKiwhDph83XaGc0o0/edit?usp=sharing"",""งบพรบ!BZ17"")"),11360)</f>
        <v>11360</v>
      </c>
      <c r="N154" s="93">
        <f ca="1">IFERROR(__xludf.DUMMYFUNCTION("IMPORTRANGE(""https://docs.google.com/spreadsheets/d/1MeEWN-I1oV_STSDYn1IFDPWt_1FKiwhDph83XaGc0o0/edit?usp=sharing"",""งบพรบ!CB17"")"),0)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IFERROR(__xludf.DUMMYFUNCTION("IMPORTRANGE(""https://docs.google.com/spreadsheets/d/1MeEWN-I1oV_STSDYn1IFDPWt_1FKiwhDph83XaGc0o0/edit?usp=sharing"",""งบพรบ!BX17"")"),0)</f>
        <v>0</v>
      </c>
      <c r="M157" s="93">
        <f ca="1">IFERROR(__xludf.DUMMYFUNCTION("IMPORTRANGE(""https://docs.google.com/spreadsheets/d/1MeEWN-I1oV_STSDYn1IFDPWt_1FKiwhDph83XaGc0o0/edit?usp=sharing"",""งบพรบ!CA17"")"),0)</f>
        <v>0</v>
      </c>
      <c r="N157" s="93">
        <f ca="1">IFERROR(__xludf.DUMMYFUNCTION("IMPORTRANGE(""https://docs.google.com/spreadsheets/d/1MeEWN-I1oV_STSDYn1IFDPWt_1FKiwhDph83XaGc0o0/edit?usp=sharing"",""งบพรบ!CC17"")"),0)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IFERROR(__xludf.DUMMYFUNCTION("IMPORTRANGE(""https://docs.google.com/spreadsheets/d/1QqKyyYR6Q21VydFLVH3TRQUabQu_ym0Zz7PgGX0-kHA/edit?usp=sharing"",""แผน!X17"")"),20)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22055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IFERROR(__xludf.DUMMYFUNCTION("IMPORTRANGE(""https://docs.google.com/spreadsheets/d/1MeEWN-I1oV_STSDYn1IFDPWt_1FKiwhDph83XaGc0o0/edit?usp=sharing"",""งบพรบ!CE17"")"),22055)</f>
        <v>22055</v>
      </c>
      <c r="M170" s="93">
        <f ca="1">IFERROR(__xludf.DUMMYFUNCTION("IMPORTRANGE(""https://docs.google.com/spreadsheets/d/1MeEWN-I1oV_STSDYn1IFDPWt_1FKiwhDph83XaGc0o0/edit?usp=sharing"",""งบพรบ!CJ17"")"),22055)</f>
        <v>22055</v>
      </c>
      <c r="N170" s="93">
        <f ca="1">IFERROR(__xludf.DUMMYFUNCTION("IMPORTRANGE(""https://docs.google.com/spreadsheets/d/1MeEWN-I1oV_STSDYn1IFDPWt_1FKiwhDph83XaGc0o0/edit?usp=sharing"",""งบพรบ!CL17"")"),22055)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IFERROR(__xludf.DUMMYFUNCTION("IMPORTRANGE(""https://docs.google.com/spreadsheets/d/1MeEWN-I1oV_STSDYn1IFDPWt_1FKiwhDph83XaGc0o0/edit?usp=sharing"",""งบพรบ!CH17"")"),0)</f>
        <v>0</v>
      </c>
      <c r="M173" s="93">
        <f ca="1">IFERROR(__xludf.DUMMYFUNCTION("IMPORTRANGE(""https://docs.google.com/spreadsheets/d/1MeEWN-I1oV_STSDYn1IFDPWt_1FKiwhDph83XaGc0o0/edit?usp=sharing"",""งบพรบ!CK17"")"),0)</f>
        <v>0</v>
      </c>
      <c r="N173" s="93">
        <f ca="1">IFERROR(__xludf.DUMMYFUNCTION("IMPORTRANGE(""https://docs.google.com/spreadsheets/d/1MeEWN-I1oV_STSDYn1IFDPWt_1FKiwhDph83XaGc0o0/edit?usp=sharing"",""งบพรบ!CM17"")"),0)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IFERROR(__xludf.DUMMYFUNCTION("IMPORTRANGE(""https://docs.google.com/spreadsheets/d/1QqKyyYR6Q21VydFLVH3TRQUabQu_ym0Zz7PgGX0-kHA/edit?usp=sharing"",""แผน!Y17"")"),11)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30000</v>
      </c>
      <c r="N181" s="155">
        <f t="shared" ca="1" si="92"/>
        <v>24695</v>
      </c>
      <c r="O181" s="155">
        <f t="shared" ref="O181:O189" ca="1" si="93">IF(L181&gt;0,N181*100/L181,0)</f>
        <v>38.889763779527556</v>
      </c>
      <c r="P181" s="155">
        <f t="shared" ref="P181:P189" ca="1" si="94">IF(M181&gt;0,N181*100/M181,0)</f>
        <v>82.316666666666663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63500</v>
      </c>
      <c r="M183" s="93">
        <f t="shared" ca="1" si="95"/>
        <v>30000</v>
      </c>
      <c r="N183" s="93">
        <f t="shared" ca="1" si="95"/>
        <v>24695</v>
      </c>
      <c r="O183" s="93">
        <f t="shared" ca="1" si="93"/>
        <v>38.889763779527556</v>
      </c>
      <c r="P183" s="93">
        <f t="shared" ca="1" si="94"/>
        <v>82.316666666666663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30000</v>
      </c>
      <c r="N184" s="466">
        <f t="shared" ca="1" si="96"/>
        <v>24695</v>
      </c>
      <c r="O184" s="466">
        <f t="shared" ca="1" si="93"/>
        <v>38.889763779527556</v>
      </c>
      <c r="P184" s="466">
        <f t="shared" ca="1" si="94"/>
        <v>82.316666666666663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IFERROR(__xludf.DUMMYFUNCTION("IMPORTRANGE(""https://docs.google.com/spreadsheets/d/1MeEWN-I1oV_STSDYn1IFDPWt_1FKiwhDph83XaGc0o0/edit?usp=sharing"",""งบพรบ!CO17"")"),63500)</f>
        <v>63500</v>
      </c>
      <c r="M186" s="93">
        <f ca="1">IFERROR(__xludf.DUMMYFUNCTION("IMPORTRANGE(""https://docs.google.com/spreadsheets/d/1MeEWN-I1oV_STSDYn1IFDPWt_1FKiwhDph83XaGc0o0/edit?usp=sharing"",""งบพรบ!CT17"")"),30000)</f>
        <v>30000</v>
      </c>
      <c r="N186" s="93">
        <f ca="1">IFERROR(__xludf.DUMMYFUNCTION("IMPORTRANGE(""https://docs.google.com/spreadsheets/d/1MeEWN-I1oV_STSDYn1IFDPWt_1FKiwhDph83XaGc0o0/edit?usp=sharing"",""งบพรบ!CV17"")"),24695)</f>
        <v>24695</v>
      </c>
      <c r="O186" s="93">
        <f t="shared" ca="1" si="93"/>
        <v>38.889763779527556</v>
      </c>
      <c r="P186" s="93">
        <f t="shared" ca="1" si="94"/>
        <v>82.316666666666663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IFERROR(__xludf.DUMMYFUNCTION("IMPORTRANGE(""https://docs.google.com/spreadsheets/d/1MeEWN-I1oV_STSDYn1IFDPWt_1FKiwhDph83XaGc0o0/edit?usp=sharing"",""งบพรบ!CR17"")"),0)</f>
        <v>0</v>
      </c>
      <c r="M189" s="93">
        <f ca="1">IFERROR(__xludf.DUMMYFUNCTION("IMPORTRANGE(""https://docs.google.com/spreadsheets/d/1MeEWN-I1oV_STSDYn1IFDPWt_1FKiwhDph83XaGc0o0/edit?usp=sharing"",""งบพรบ!CU17"")"),0)</f>
        <v>0</v>
      </c>
      <c r="N189" s="93">
        <f ca="1">IFERROR(__xludf.DUMMYFUNCTION("IMPORTRANGE(""https://docs.google.com/spreadsheets/d/1MeEWN-I1oV_STSDYn1IFDPWt_1FKiwhDph83XaGc0o0/edit?usp=sharing"",""งบพรบ!CW17"")"),0)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IFERROR(__xludf.DUMMYFUNCTION("IMPORTRANGE(""https://docs.google.com/spreadsheets/d/1QqKyyYR6Q21VydFLVH3TRQUabQu_ym0Zz7PgGX0-kHA/edit?usp=sharing"",""แผน!AC17"")"),4)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24695</v>
      </c>
      <c r="O198" s="155">
        <f ca="1">IF(L198&gt;0,N198*100/L198,0)</f>
        <v>63.320512820512818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IFERROR(__xludf.DUMMYFUNCTION("IMPORTRANGE(""https://docs.google.com/spreadsheets/d/1QqKyyYR6Q21VydFLVH3TRQUabQu_ym0Zz7PgGX0-kHA/edit?usp=sharing"",""แผน!AE17"")"),3000)</f>
        <v>3000</v>
      </c>
      <c r="M199" s="466"/>
      <c r="N199" s="798">
        <v>695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IFERROR(__xludf.DUMMYFUNCTION("IMPORTRANGE(""https://docs.google.com/spreadsheets/d/1QqKyyYR6Q21VydFLVH3TRQUabQu_ym0Zz7PgGX0-kHA/edit?usp=sharing"",""แผน!AF17"")"),24000)</f>
        <v>24000</v>
      </c>
      <c r="M200" s="466"/>
      <c r="N200" s="798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IFERROR(__xludf.DUMMYFUNCTION("IMPORTRANGE(""https://docs.google.com/spreadsheets/d/1QqKyyYR6Q21VydFLVH3TRQUabQu_ym0Zz7PgGX0-kHA/edit?usp=sharing"",""แผน!AG17"")"),12000)</f>
        <v>12000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IFERROR(__xludf.DUMMYFUNCTION("IMPORTRANGE(""https://docs.google.com/spreadsheets/d/1QqKyyYR6Q21VydFLVH3TRQUabQu_ym0Zz7PgGX0-kHA/edit?usp=sharing"",""แผน!AH17"")"),0)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IFERROR(__xludf.DUMMYFUNCTION("IMPORTRANGE(""https://docs.google.com/spreadsheets/d/1QqKyyYR6Q21VydFLVH3TRQUabQu_ym0Zz7PgGX0-kHA/edit?usp=sharing"",""แผน!AI17"")"),3)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IFERROR(__xludf.DUMMYFUNCTION("IMPORTRANGE(""https://docs.google.com/spreadsheets/d/1QqKyyYR6Q21VydFLVH3TRQUabQu_ym0Zz7PgGX0-kHA/edit?usp=sharing"",""แผน!AK17"")"),0)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IFERROR(__xludf.DUMMYFUNCTION("IMPORTRANGE(""https://docs.google.com/spreadsheets/d/1QqKyyYR6Q21VydFLVH3TRQUabQu_ym0Zz7PgGX0-kHA/edit?usp=sharing"",""แผน!AL17"")"),0)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IFERROR(__xludf.DUMMYFUNCTION("IMPORTRANGE(""https://docs.google.com/spreadsheets/d/1QqKyyYR6Q21VydFLVH3TRQUabQu_ym0Zz7PgGX0-kHA/edit?usp=sharing"",""แผน!AM17"")"),0)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IFERROR(__xludf.DUMMYFUNCTION("IMPORTRANGE(""https://docs.google.com/spreadsheets/d/1QqKyyYR6Q21VydFLVH3TRQUabQu_ym0Zz7PgGX0-kHA/edit?usp=sharing"",""แผน!AN17"")"),0)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IFERROR(__xludf.DUMMYFUNCTION("IMPORTRANGE(""https://docs.google.com/spreadsheets/d/1QqKyyYR6Q21VydFLVH3TRQUabQu_ym0Zz7PgGX0-kHA/edit?usp=sharing"",""แผน!AN17"")"),0)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IFERROR(__xludf.DUMMYFUNCTION("IMPORTRANGE(""https://docs.google.com/spreadsheets/d/1QqKyyYR6Q21VydFLVH3TRQUabQu_ym0Zz7PgGX0-kHA/edit?usp=sharing"",""แผน!AP17"")"),5000)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IFERROR(__xludf.DUMMYFUNCTION("IMPORTRANGE(""https://docs.google.com/spreadsheets/d/1QqKyyYR6Q21VydFLVH3TRQUabQu_ym0Zz7PgGX0-kHA/edit?usp=sharing"",""แผน!AQ17"")"),13500)</f>
        <v>13500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IFERROR(__xludf.DUMMYFUNCTION("IMPORTRANGE(""https://docs.google.com/spreadsheets/d/1QqKyyYR6Q21VydFLVH3TRQUabQu_ym0Zz7PgGX0-kHA/edit?usp=sharing"",""แผน!AR17"")"),0)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IFERROR(__xludf.DUMMYFUNCTION("IMPORTRANGE(""https://docs.google.com/spreadsheets/d/1QqKyyYR6Q21VydFLVH3TRQUabQu_ym0Zz7PgGX0-kHA/edit?usp=sharing"",""แผน!AT17"")"),50000)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IFERROR(__xludf.DUMMYFUNCTION("IMPORTRANGE(""https://docs.google.com/spreadsheets/d/1QqKyyYR6Q21VydFLVH3TRQUabQu_ym0Zz7PgGX0-kHA/edit?usp=sharing"",""แผน!AT17"")"),50000)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IFERROR(__xludf.DUMMYFUNCTION("IMPORTRANGE(""https://docs.google.com/spreadsheets/d/1QqKyyYR6Q21VydFLVH3TRQUabQu_ym0Zz7PgGX0-kHA/edit?usp=sharing"",""แผน!AS17"")"),0)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IFERROR(__xludf.DUMMYFUNCTION("IMPORTRANGE(""https://docs.google.com/spreadsheets/d/1QqKyyYR6Q21VydFLVH3TRQUabQu_ym0Zz7PgGX0-kHA/edit?usp=sharing"",""แผน!AV17"")"),0)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IFERROR(__xludf.DUMMYFUNCTION("IMPORTRANGE(""https://docs.google.com/spreadsheets/d/1QqKyyYR6Q21VydFLVH3TRQUabQu_ym0Zz7PgGX0-kHA/edit?usp=sharing"",""แผน!AW17"")"),0)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IFERROR(__xludf.DUMMYFUNCTION("IMPORTRANGE(""https://docs.google.com/spreadsheets/d/1QqKyyYR6Q21VydFLVH3TRQUabQu_ym0Zz7PgGX0-kHA/edit?usp=sharing"",""แผน!AY17"")"),0)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IFERROR(__xludf.DUMMYFUNCTION("IMPORTRANGE(""https://docs.google.com/spreadsheets/d/1QqKyyYR6Q21VydFLVH3TRQUabQu_ym0Zz7PgGX0-kHA/edit?usp=sharing"",""แผน!BE17"")"),0)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IFERROR(__xludf.DUMMYFUNCTION("IMPORTRANGE(""https://docs.google.com/spreadsheets/d/1QqKyyYR6Q21VydFLVH3TRQUabQu_ym0Zz7PgGX0-kHA/edit?usp=sharing"",""แผน!BF17"")"),0)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19170</v>
      </c>
      <c r="O261" s="155">
        <f t="shared" ref="O261:O269" ca="1" si="117">IF(L261&gt;0,N261*100/L261,0)</f>
        <v>71.263940520446099</v>
      </c>
      <c r="P261" s="155">
        <f t="shared" ref="P261:P269" ca="1" si="118">IF(M261&gt;0,N261*100/M261,0)</f>
        <v>80.209205020920507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19170</v>
      </c>
      <c r="O263" s="93">
        <f t="shared" ca="1" si="117"/>
        <v>71.263940520446099</v>
      </c>
      <c r="P263" s="93">
        <f t="shared" ca="1" si="118"/>
        <v>80.209205020920507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19170</v>
      </c>
      <c r="O264" s="466">
        <f t="shared" ca="1" si="117"/>
        <v>71.263940520446099</v>
      </c>
      <c r="P264" s="466">
        <f t="shared" ca="1" si="118"/>
        <v>80.209205020920507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IFERROR(__xludf.DUMMYFUNCTION("IMPORTRANGE(""https://docs.google.com/spreadsheets/d/1MeEWN-I1oV_STSDYn1IFDPWt_1FKiwhDph83XaGc0o0/edit?usp=sharing"",""งบพรบ!CY17"")"),26900)</f>
        <v>26900</v>
      </c>
      <c r="M266" s="93">
        <f ca="1">IFERROR(__xludf.DUMMYFUNCTION("IMPORTRANGE(""https://docs.google.com/spreadsheets/d/1MeEWN-I1oV_STSDYn1IFDPWt_1FKiwhDph83XaGc0o0/edit?usp=sharing"",""งบพรบ!DD17"")"),23900)</f>
        <v>23900</v>
      </c>
      <c r="N266" s="93">
        <f ca="1">IFERROR(__xludf.DUMMYFUNCTION("IMPORTRANGE(""https://docs.google.com/spreadsheets/d/1MeEWN-I1oV_STSDYn1IFDPWt_1FKiwhDph83XaGc0o0/edit?usp=sharing"",""งบพรบ!DF17"")"),19170)</f>
        <v>19170</v>
      </c>
      <c r="O266" s="93">
        <f t="shared" ca="1" si="117"/>
        <v>71.263940520446099</v>
      </c>
      <c r="P266" s="93">
        <f t="shared" ca="1" si="118"/>
        <v>80.209205020920507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IFERROR(__xludf.DUMMYFUNCTION("IMPORTRANGE(""https://docs.google.com/spreadsheets/d/1MeEWN-I1oV_STSDYn1IFDPWt_1FKiwhDph83XaGc0o0/edit?usp=sharing"",""งบพรบ!DB17"")"),0)</f>
        <v>0</v>
      </c>
      <c r="M269" s="93">
        <f ca="1">IFERROR(__xludf.DUMMYFUNCTION("IMPORTRANGE(""https://docs.google.com/spreadsheets/d/1MeEWN-I1oV_STSDYn1IFDPWt_1FKiwhDph83XaGc0o0/edit?usp=sharing"",""งบพรบ!DE17"")"),0)</f>
        <v>0</v>
      </c>
      <c r="N269" s="93">
        <f ca="1">IFERROR(__xludf.DUMMYFUNCTION("IMPORTRANGE(""https://docs.google.com/spreadsheets/d/1MeEWN-I1oV_STSDYn1IFDPWt_1FKiwhDph83XaGc0o0/edit?usp=sharing"",""งบพรบ!DG17"")"),0)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250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257420</v>
      </c>
      <c r="M277" s="155">
        <f t="shared" ca="1" si="125"/>
        <v>128070</v>
      </c>
      <c r="N277" s="155">
        <f t="shared" ca="1" si="125"/>
        <v>53049</v>
      </c>
      <c r="O277" s="155">
        <f t="shared" ref="O277:O285" ca="1" si="126">IF(L277&gt;0,N277*100/L277,0)</f>
        <v>20.607955869784789</v>
      </c>
      <c r="P277" s="155">
        <f t="shared" ref="P277:P285" ca="1" si="127">IF(M277&gt;0,N277*100/M277,0)</f>
        <v>41.421878660107751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257420</v>
      </c>
      <c r="M279" s="93">
        <f t="shared" ca="1" si="128"/>
        <v>128070</v>
      </c>
      <c r="N279" s="93">
        <f t="shared" ca="1" si="128"/>
        <v>53049</v>
      </c>
      <c r="O279" s="93">
        <f t="shared" ca="1" si="126"/>
        <v>20.607955869784789</v>
      </c>
      <c r="P279" s="93">
        <f t="shared" ca="1" si="127"/>
        <v>41.421878660107751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257420</v>
      </c>
      <c r="M280" s="466">
        <f t="shared" ca="1" si="129"/>
        <v>128070</v>
      </c>
      <c r="N280" s="466">
        <f t="shared" ca="1" si="129"/>
        <v>53049</v>
      </c>
      <c r="O280" s="466">
        <f t="shared" ca="1" si="126"/>
        <v>20.607955869784789</v>
      </c>
      <c r="P280" s="466">
        <f t="shared" ca="1" si="127"/>
        <v>41.421878660107751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IFERROR(__xludf.DUMMYFUNCTION("IMPORTRANGE(""https://docs.google.com/spreadsheets/d/1MeEWN-I1oV_STSDYn1IFDPWt_1FKiwhDph83XaGc0o0/edit?usp=sharing"",""งบพรบ!DI17"")"),257420)</f>
        <v>257420</v>
      </c>
      <c r="M282" s="93">
        <f ca="1">IFERROR(__xludf.DUMMYFUNCTION("IMPORTRANGE(""https://docs.google.com/spreadsheets/d/1MeEWN-I1oV_STSDYn1IFDPWt_1FKiwhDph83XaGc0o0/edit?usp=sharing"",""งบพรบ!DN17"")"),128070)</f>
        <v>128070</v>
      </c>
      <c r="N282" s="93">
        <f ca="1">IFERROR(__xludf.DUMMYFUNCTION("IMPORTRANGE(""https://docs.google.com/spreadsheets/d/1MeEWN-I1oV_STSDYn1IFDPWt_1FKiwhDph83XaGc0o0/edit?usp=sharing"",""งบพรบ!DP17"")"),53049)</f>
        <v>53049</v>
      </c>
      <c r="O282" s="93">
        <f t="shared" ca="1" si="126"/>
        <v>20.607955869784789</v>
      </c>
      <c r="P282" s="93">
        <f t="shared" ca="1" si="127"/>
        <v>41.421878660107751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IFERROR(__xludf.DUMMYFUNCTION("IMPORTRANGE(""https://docs.google.com/spreadsheets/d/1MeEWN-I1oV_STSDYn1IFDPWt_1FKiwhDph83XaGc0o0/edit?usp=sharing"",""งบพรบ!DL17"")"),0)</f>
        <v>0</v>
      </c>
      <c r="M285" s="93">
        <f ca="1">IFERROR(__xludf.DUMMYFUNCTION("IMPORTRANGE(""https://docs.google.com/spreadsheets/d/1MeEWN-I1oV_STSDYn1IFDPWt_1FKiwhDph83XaGc0o0/edit?usp=sharing"",""งบพรบ!DO17"")"),0)</f>
        <v>0</v>
      </c>
      <c r="N285" s="93">
        <f ca="1">IFERROR(__xludf.DUMMYFUNCTION("IMPORTRANGE(""https://docs.google.com/spreadsheets/d/1MeEWN-I1oV_STSDYn1IFDPWt_1FKiwhDph83XaGc0o0/edit?usp=sharing"",""งบพรบ!DQ17"")"),0)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IFERROR(__xludf.DUMMYFUNCTION("IMPORTRANGE(""https://docs.google.com/spreadsheets/d/1QqKyyYR6Q21VydFLVH3TRQUabQu_ym0Zz7PgGX0-kHA/edit?usp=sharing"",""แผน!EC17"")"),250)</f>
        <v>250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IFERROR(__xludf.DUMMYFUNCTION("IMPORTRANGE(""https://docs.google.com/spreadsheets/d/1QqKyyYR6Q21VydFLVH3TRQUabQu_ym0Zz7PgGX0-kHA/edit?usp=sharing"",""แผน!EB17"")"),25)</f>
        <v>25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IFERROR(__xludf.DUMMYFUNCTION("IMPORTRANGE(""https://docs.google.com/spreadsheets/d/1QqKyyYR6Q21VydFLVH3TRQUabQu_ym0Zz7PgGX0-kHA/edit?usp=sharing"",""แผน!EB17"")"),25)</f>
        <v>25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IFERROR(__xludf.DUMMYFUNCTION("IMPORTRANGE(""https://docs.google.com/spreadsheets/d/1QqKyyYR6Q21VydFLVH3TRQUabQu_ym0Zz7PgGX0-kHA/edit?usp=sharing"",""แผน!EB17"")"),25)</f>
        <v>25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IFERROR(__xludf.DUMMYFUNCTION("IMPORTRANGE(""https://docs.google.com/spreadsheets/d/1QqKyyYR6Q21VydFLVH3TRQUabQu_ym0Zz7PgGX0-kHA/edit?usp=sharing"",""แผน!EB17"")"),25)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IFERROR(__xludf.DUMMYFUNCTION("IMPORTRANGE(""https://docs.google.com/spreadsheets/d/1QqKyyYR6Q21VydFLVH3TRQUabQu_ym0Zz7PgGX0-kHA/edit?usp=sharing"",""แผน!EB17"")"),25)</f>
        <v>25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179120</v>
      </c>
      <c r="N298" s="155">
        <f t="shared" ca="1" si="135"/>
        <v>93545</v>
      </c>
      <c r="O298" s="155">
        <f t="shared" ref="O298:O306" ca="1" si="136">IF(L298&gt;0,N298*100/L298,0)</f>
        <v>25.392236699239955</v>
      </c>
      <c r="P298" s="155">
        <f t="shared" ref="P298:P306" ca="1" si="137">IF(M298&gt;0,N298*100/M298,0)</f>
        <v>52.224765520321569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368400</v>
      </c>
      <c r="M300" s="93">
        <f t="shared" ca="1" si="138"/>
        <v>179120</v>
      </c>
      <c r="N300" s="93">
        <f t="shared" ca="1" si="138"/>
        <v>93545</v>
      </c>
      <c r="O300" s="93">
        <f t="shared" ca="1" si="136"/>
        <v>25.392236699239955</v>
      </c>
      <c r="P300" s="93">
        <f t="shared" ca="1" si="137"/>
        <v>52.224765520321569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179120</v>
      </c>
      <c r="N301" s="466">
        <f t="shared" ca="1" si="139"/>
        <v>93545</v>
      </c>
      <c r="O301" s="466">
        <f t="shared" ca="1" si="136"/>
        <v>25.392236699239955</v>
      </c>
      <c r="P301" s="466">
        <f t="shared" ca="1" si="137"/>
        <v>52.224765520321569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IFERROR(__xludf.DUMMYFUNCTION("IMPORTRANGE(""https://docs.google.com/spreadsheets/d/1MeEWN-I1oV_STSDYn1IFDPWt_1FKiwhDph83XaGc0o0/edit?usp=sharing"",""งบพรบ!DS17"")"),368400)</f>
        <v>368400</v>
      </c>
      <c r="M303" s="93">
        <f ca="1">IFERROR(__xludf.DUMMYFUNCTION("IMPORTRANGE(""https://docs.google.com/spreadsheets/d/1MeEWN-I1oV_STSDYn1IFDPWt_1FKiwhDph83XaGc0o0/edit?usp=sharing"",""งบพรบ!DX17"")"),179120)</f>
        <v>179120</v>
      </c>
      <c r="N303" s="93">
        <f ca="1">IFERROR(__xludf.DUMMYFUNCTION("IMPORTRANGE(""https://docs.google.com/spreadsheets/d/1MeEWN-I1oV_STSDYn1IFDPWt_1FKiwhDph83XaGc0o0/edit?usp=sharing"",""งบพรบ!DZ17"")"),93545)</f>
        <v>93545</v>
      </c>
      <c r="O303" s="93">
        <f t="shared" ca="1" si="136"/>
        <v>25.392236699239955</v>
      </c>
      <c r="P303" s="93">
        <f t="shared" ca="1" si="137"/>
        <v>52.224765520321569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IFERROR(__xludf.DUMMYFUNCTION("IMPORTRANGE(""https://docs.google.com/spreadsheets/d/1MeEWN-I1oV_STSDYn1IFDPWt_1FKiwhDph83XaGc0o0/edit?usp=sharing"",""งบพรบ!DV17"")"),0)</f>
        <v>0</v>
      </c>
      <c r="M306" s="93">
        <f ca="1">IFERROR(__xludf.DUMMYFUNCTION("IMPORTRANGE(""https://docs.google.com/spreadsheets/d/1MeEWN-I1oV_STSDYn1IFDPWt_1FKiwhDph83XaGc0o0/edit?usp=sharing"",""งบพรบ!DY17"")"),0)</f>
        <v>0</v>
      </c>
      <c r="N306" s="93">
        <f ca="1">IFERROR(__xludf.DUMMYFUNCTION("IMPORTRANGE(""https://docs.google.com/spreadsheets/d/1MeEWN-I1oV_STSDYn1IFDPWt_1FKiwhDph83XaGc0o0/edit?usp=sharing"",""งบพรบ!EA17"")"),0)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IFERROR(__xludf.DUMMYFUNCTION("IMPORTRANGE(""https://docs.google.com/spreadsheets/d/1QqKyyYR6Q21VydFLVH3TRQUabQu_ym0Zz7PgGX0-kHA/edit?usp=sharing"",""แผน!ED17"")"),20)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IFERROR(__xludf.DUMMYFUNCTION("IMPORTRANGE(""https://docs.google.com/spreadsheets/d/1QqKyyYR6Q21VydFLVH3TRQUabQu_ym0Zz7PgGX0-kHA/edit?usp=sharing"",""แผน!ED17"")"),20)</f>
        <v>20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IFERROR(__xludf.DUMMYFUNCTION("IMPORTRANGE(""https://docs.google.com/spreadsheets/d/1QqKyyYR6Q21VydFLVH3TRQUabQu_ym0Zz7PgGX0-kHA/edit?usp=sharing"",""แผน!ED17"")"),20)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IFERROR(__xludf.DUMMYFUNCTION("IMPORTRANGE(""https://docs.google.com/spreadsheets/d/1QqKyyYR6Q21VydFLVH3TRQUabQu_ym0Zz7PgGX0-kHA/edit?usp=sharing"",""แผน!EE17"")"),4)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IFERROR(__xludf.DUMMYFUNCTION("IMPORTRANGE(""https://docs.google.com/spreadsheets/d/1MeEWN-I1oV_STSDYn1IFDPWt_1FKiwhDph83XaGc0o0/edit?usp=sharing"",""งบพรบ!EC17"")"),0)</f>
        <v>0</v>
      </c>
      <c r="M320" s="93">
        <f ca="1">IFERROR(__xludf.DUMMYFUNCTION("IMPORTRANGE(""https://docs.google.com/spreadsheets/d/1MeEWN-I1oV_STSDYn1IFDPWt_1FKiwhDph83XaGc0o0/edit?usp=sharing"",""งบพรบ!EH17"")"),0)</f>
        <v>0</v>
      </c>
      <c r="N320" s="93">
        <f ca="1">IFERROR(__xludf.DUMMYFUNCTION("IMPORTRANGE(""https://docs.google.com/spreadsheets/d/1MeEWN-I1oV_STSDYn1IFDPWt_1FKiwhDph83XaGc0o0/edit?usp=sharing"",""งบพรบ!EJ17"")"),0)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IFERROR(__xludf.DUMMYFUNCTION("IMPORTRANGE(""https://docs.google.com/spreadsheets/d/1MeEWN-I1oV_STSDYn1IFDPWt_1FKiwhDph83XaGc0o0/edit?usp=sharing"",""งบพรบ!EF17"")"),0)</f>
        <v>0</v>
      </c>
      <c r="M323" s="93">
        <f ca="1">IFERROR(__xludf.DUMMYFUNCTION("IMPORTRANGE(""https://docs.google.com/spreadsheets/d/1MeEWN-I1oV_STSDYn1IFDPWt_1FKiwhDph83XaGc0o0/edit?usp=sharing"",""งบพรบ!EI17"")"),0)</f>
        <v>0</v>
      </c>
      <c r="N323" s="93">
        <f ca="1">IFERROR(__xludf.DUMMYFUNCTION("IMPORTRANGE(""https://docs.google.com/spreadsheets/d/1MeEWN-I1oV_STSDYn1IFDPWt_1FKiwhDph83XaGc0o0/edit?usp=sharing"",""งบพรบ!EK17"")"),0)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IFERROR(__xludf.DUMMYFUNCTION("IMPORTRANGE(""https://docs.google.com/spreadsheets/d/1QqKyyYR6Q21VydFLVH3TRQUabQu_ym0Zz7PgGX0-kHA/edit?usp=sharing"",""แผน!EG17"")"),900)</f>
        <v>900</v>
      </c>
      <c r="J327" s="413">
        <f ca="1">J338+J341+J342+J343</f>
        <v>765</v>
      </c>
      <c r="K327" s="414">
        <f ca="1">IF(I327&gt;0,J327*100/I327,0)</f>
        <v>85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82500</v>
      </c>
      <c r="N328" s="155">
        <f t="shared" ca="1" si="149"/>
        <v>27685</v>
      </c>
      <c r="O328" s="155">
        <f t="shared" ref="O328:O336" ca="1" si="150">IF(L328&gt;0,N328*100/L328,0)</f>
        <v>16.778787878787877</v>
      </c>
      <c r="P328" s="155">
        <f t="shared" ref="P328:P336" ca="1" si="151">IF(M328&gt;0,N328*100/M328,0)</f>
        <v>33.557575757575755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165000</v>
      </c>
      <c r="M330" s="93">
        <f t="shared" ca="1" si="152"/>
        <v>82500</v>
      </c>
      <c r="N330" s="93">
        <f t="shared" ca="1" si="152"/>
        <v>27685</v>
      </c>
      <c r="O330" s="93">
        <f t="shared" ca="1" si="150"/>
        <v>16.778787878787877</v>
      </c>
      <c r="P330" s="93">
        <f t="shared" ca="1" si="151"/>
        <v>33.557575757575755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82500</v>
      </c>
      <c r="N331" s="466">
        <f t="shared" ca="1" si="153"/>
        <v>27685</v>
      </c>
      <c r="O331" s="466">
        <f t="shared" ca="1" si="150"/>
        <v>16.778787878787877</v>
      </c>
      <c r="P331" s="466">
        <f t="shared" ca="1" si="151"/>
        <v>33.557575757575755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IFERROR(__xludf.DUMMYFUNCTION("IMPORTRANGE(""https://docs.google.com/spreadsheets/d/1MeEWN-I1oV_STSDYn1IFDPWt_1FKiwhDph83XaGc0o0/edit?usp=sharing"",""งบพรบ!EM17"")"),165000)</f>
        <v>165000</v>
      </c>
      <c r="M333" s="93">
        <f ca="1">IFERROR(__xludf.DUMMYFUNCTION("IMPORTRANGE(""https://docs.google.com/spreadsheets/d/1MeEWN-I1oV_STSDYn1IFDPWt_1FKiwhDph83XaGc0o0/edit?usp=sharing"",""งบพรบ!ER17"")"),82500)</f>
        <v>82500</v>
      </c>
      <c r="N333" s="93">
        <f ca="1">IFERROR(__xludf.DUMMYFUNCTION("IMPORTRANGE(""https://docs.google.com/spreadsheets/d/1MeEWN-I1oV_STSDYn1IFDPWt_1FKiwhDph83XaGc0o0/edit?usp=sharing"",""งบพรบ!ET17"")"),27685)</f>
        <v>27685</v>
      </c>
      <c r="O333" s="93">
        <f t="shared" ca="1" si="150"/>
        <v>16.778787878787877</v>
      </c>
      <c r="P333" s="93">
        <f t="shared" ca="1" si="151"/>
        <v>33.557575757575755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IFERROR(__xludf.DUMMYFUNCTION("IMPORTRANGE(""https://docs.google.com/spreadsheets/d/1MeEWN-I1oV_STSDYn1IFDPWt_1FKiwhDph83XaGc0o0/edit?usp=sharing"",""งบพรบ!EP17"")"),0)</f>
        <v>0</v>
      </c>
      <c r="M336" s="93">
        <f ca="1">IFERROR(__xludf.DUMMYFUNCTION("IMPORTRANGE(""https://docs.google.com/spreadsheets/d/1MeEWN-I1oV_STSDYn1IFDPWt_1FKiwhDph83XaGc0o0/edit?usp=sharing"",""งบพรบ!ES17"")"),0)</f>
        <v>0</v>
      </c>
      <c r="N336" s="93">
        <f ca="1">IFERROR(__xludf.DUMMYFUNCTION("IMPORTRANGE(""https://docs.google.com/spreadsheets/d/1MeEWN-I1oV_STSDYn1IFDPWt_1FKiwhDph83XaGc0o0/edit?usp=sharing"",""งบพรบ!EU17"")"),0)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IFERROR(__xludf.DUMMYFUNCTION("IMPORTRANGE(""https://docs.google.com/spreadsheets/d/1QqKyyYR6Q21VydFLVH3TRQUabQu_ym0Zz7PgGX0-kHA/edit?usp=sharing"",""แผน!EG17"")"),900)</f>
        <v>900</v>
      </c>
      <c r="J338" s="270">
        <f ca="1">IFERROR(__xludf.DUMMYFUNCTION("IMPORTRANGE(""https://docs.google.com/spreadsheets/d/1kVcqe37tkHyjCSG3S0O1AXqVkqjo8mSIZil3BcpIysc/edit?usp=sharing"",""ศูนย์!D17"")"),461)</f>
        <v>461</v>
      </c>
      <c r="K338" s="466">
        <f ca="1">IF(I338&gt;0,J338*100/I338,0)</f>
        <v>51.222222222222221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IFERROR(__xludf.DUMMYFUNCTION("IMPORTRANGE(""https://docs.google.com/spreadsheets/d/1QqKyyYR6Q21VydFLVH3TRQUabQu_ym0Zz7PgGX0-kHA/edit?usp=sharing"",""แผน!EH17"")"),6)</f>
        <v>6</v>
      </c>
      <c r="J340" s="270">
        <f ca="1">IFERROR(__xludf.DUMMYFUNCTION("IMPORTRANGE(""https://docs.google.com/spreadsheets/d/1kVcqe37tkHyjCSG3S0O1AXqVkqjo8mSIZil3BcpIysc/edit?usp=sharing"",""ศูนย์!E17"")"),3)</f>
        <v>3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IFERROR(__xludf.DUMMYFUNCTION("IMPORTRANGE(""https://docs.google.com/spreadsheets/d/1kVcqe37tkHyjCSG3S0O1AXqVkqjo8mSIZil3BcpIysc/edit?usp=sharing"",""ศูนย์!F17"")"),304)</f>
        <v>304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768200</v>
      </c>
      <c r="M345" s="155">
        <f t="shared" ca="1" si="155"/>
        <v>419380</v>
      </c>
      <c r="N345" s="155">
        <f t="shared" ca="1" si="155"/>
        <v>257804</v>
      </c>
      <c r="O345" s="155">
        <f t="shared" ref="O345:O353" ca="1" si="156">IF(L345&gt;0,N345*100/L345,0)</f>
        <v>33.559489716219737</v>
      </c>
      <c r="P345" s="155">
        <f t="shared" ref="P345:P353" ca="1" si="157">IF(M345&gt;0,N345*100/M345,0)</f>
        <v>61.472650102532313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768200</v>
      </c>
      <c r="M347" s="93">
        <f t="shared" ca="1" si="158"/>
        <v>419380</v>
      </c>
      <c r="N347" s="93">
        <f t="shared" ca="1" si="158"/>
        <v>257804</v>
      </c>
      <c r="O347" s="93">
        <f t="shared" ca="1" si="156"/>
        <v>33.559489716219737</v>
      </c>
      <c r="P347" s="93">
        <f t="shared" ca="1" si="157"/>
        <v>61.472650102532313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695600</v>
      </c>
      <c r="M348" s="466">
        <f t="shared" ca="1" si="159"/>
        <v>347800</v>
      </c>
      <c r="N348" s="466">
        <f t="shared" ca="1" si="159"/>
        <v>186224</v>
      </c>
      <c r="O348" s="466">
        <f t="shared" ca="1" si="156"/>
        <v>26.771707878090858</v>
      </c>
      <c r="P348" s="466">
        <f t="shared" ca="1" si="157"/>
        <v>53.543415756181716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IFERROR(__xludf.DUMMYFUNCTION("IMPORTRANGE(""https://docs.google.com/spreadsheets/d/1MeEWN-I1oV_STSDYn1IFDPWt_1FKiwhDph83XaGc0o0/edit?usp=sharing"",""งบพรบ!EW17"")"),695600)</f>
        <v>695600</v>
      </c>
      <c r="M350" s="93">
        <f ca="1">IFERROR(__xludf.DUMMYFUNCTION("IMPORTRANGE(""https://docs.google.com/spreadsheets/d/1MeEWN-I1oV_STSDYn1IFDPWt_1FKiwhDph83XaGc0o0/edit?usp=sharing"",""งบพรบ!FB17"")"),347800)</f>
        <v>347800</v>
      </c>
      <c r="N350" s="93">
        <f ca="1">IFERROR(__xludf.DUMMYFUNCTION("IMPORTRANGE(""https://docs.google.com/spreadsheets/d/1MeEWN-I1oV_STSDYn1IFDPWt_1FKiwhDph83XaGc0o0/edit?usp=sharing"",""งบพรบ!FD17"")"),186224)</f>
        <v>186224</v>
      </c>
      <c r="O350" s="93">
        <f t="shared" ca="1" si="156"/>
        <v>26.771707878090858</v>
      </c>
      <c r="P350" s="93">
        <f t="shared" ca="1" si="157"/>
        <v>53.543415756181716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72600</v>
      </c>
      <c r="M351" s="466">
        <f t="shared" ca="1" si="160"/>
        <v>71580</v>
      </c>
      <c r="N351" s="466">
        <f t="shared" ca="1" si="160"/>
        <v>71580</v>
      </c>
      <c r="O351" s="466">
        <f t="shared" ca="1" si="156"/>
        <v>98.595041322314046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IFERROR(__xludf.DUMMYFUNCTION("IMPORTRANGE(""https://docs.google.com/spreadsheets/d/1MeEWN-I1oV_STSDYn1IFDPWt_1FKiwhDph83XaGc0o0/edit?usp=sharing"",""งบพรบ!EZ17"")"),72600)</f>
        <v>72600</v>
      </c>
      <c r="M353" s="93">
        <f ca="1">IFERROR(__xludf.DUMMYFUNCTION("IMPORTRANGE(""https://docs.google.com/spreadsheets/d/1MeEWN-I1oV_STSDYn1IFDPWt_1FKiwhDph83XaGc0o0/edit?usp=sharing"",""งบพรบ!FC17"")"),71580)</f>
        <v>71580</v>
      </c>
      <c r="N353" s="93">
        <f ca="1">IFERROR(__xludf.DUMMYFUNCTION("IMPORTRANGE(""https://docs.google.com/spreadsheets/d/1MeEWN-I1oV_STSDYn1IFDPWt_1FKiwhDph83XaGc0o0/edit?usp=sharing"",""งบพรบ!FE17"")"),71580)</f>
        <v>71580</v>
      </c>
      <c r="O353" s="93">
        <f t="shared" ca="1" si="156"/>
        <v>98.595041322314046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IFERROR(__xludf.DUMMYFUNCTION("IMPORTRANGE(""https://docs.google.com/spreadsheets/d/1QqKyyYR6Q21VydFLVH3TRQUabQu_ym0Zz7PgGX0-kHA/edit?usp=sharing"",""แผน!EP17"")"),250)</f>
        <v>250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IFERROR(__xludf.DUMMYFUNCTION("IMPORTRANGE(""https://docs.google.com/spreadsheets/d/1XWAQStnk-4SwqDmLtmXYiTMKHgktTP8We1SCoS47DrQ/edit?usp=sharing"",""จัดที่ดิน!W17"")"),52)</f>
        <v>52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IFERROR(__xludf.DUMMYFUNCTION("IMPORTRANGE(""https://docs.google.com/spreadsheets/d/1QqKyyYR6Q21VydFLVH3TRQUabQu_ym0Zz7PgGX0-kHA/edit?usp=sharing"",""แผน!EO17"")"),2500)</f>
        <v>2500</v>
      </c>
      <c r="J359" s="270">
        <f ca="1">IFERROR(__xludf.DUMMYFUNCTION("IMPORTRANGE(""https://docs.google.com/spreadsheets/d/1XWAQStnk-4SwqDmLtmXYiTMKHgktTP8We1SCoS47DrQ/edit?usp=sharing"",""จัดที่ดิน!X17"")"),403.36)</f>
        <v>403.36</v>
      </c>
      <c r="K359" s="466">
        <f t="shared" ca="1" si="161"/>
        <v>16.134399999999999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IFERROR(__xludf.DUMMYFUNCTION("IMPORTRANGE(""https://docs.google.com/spreadsheets/d/1QqKyyYR6Q21VydFLVH3TRQUabQu_ym0Zz7PgGX0-kHA/edit?usp=sharing"",""แผน!EP17"")"),250)</f>
        <v>250</v>
      </c>
      <c r="J360" s="270">
        <f ca="1">IFERROR(__xludf.DUMMYFUNCTION("IMPORTRANGE(""https://docs.google.com/spreadsheets/d/1XWAQStnk-4SwqDmLtmXYiTMKHgktTP8We1SCoS47DrQ/edit?usp=sharing"",""จัดที่ดิน!Y17"")"),39)</f>
        <v>39</v>
      </c>
      <c r="K360" s="466">
        <f t="shared" ca="1" si="161"/>
        <v>15.6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IFERROR(__xludf.DUMMYFUNCTION("IMPORTRANGE(""https://docs.google.com/spreadsheets/d/1XWAQStnk-4SwqDmLtmXYiTMKHgktTP8We1SCoS47DrQ/edit?usp=sharing"",""จัดที่ดิน!Z17"")"),254.96)</f>
        <v>254.96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IFERROR(__xludf.DUMMYFUNCTION("IMPORTRANGE(""https://docs.google.com/spreadsheets/d/1QqKyyYR6Q21VydFLVH3TRQUabQu_ym0Zz7PgGX0-kHA/edit?usp=sharing"",""แผน!EP17"")"),250)</f>
        <v>250</v>
      </c>
      <c r="J362" s="270">
        <f ca="1">IFERROR(__xludf.DUMMYFUNCTION("IMPORTRANGE(""https://docs.google.com/spreadsheets/d/1XWAQStnk-4SwqDmLtmXYiTMKHgktTP8We1SCoS47DrQ/edit?usp=sharing"",""จัดที่ดิน!AA17"")"),0)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IFERROR(__xludf.DUMMYFUNCTION("IMPORTRANGE(""https://docs.google.com/spreadsheets/d/1XWAQStnk-4SwqDmLtmXYiTMKHgktTP8We1SCoS47DrQ/edit?usp=sharing"",""จัดที่ดิน!AB17"")"),0)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370</v>
      </c>
      <c r="J364" s="447">
        <f t="shared" ca="1" si="162"/>
        <v>110</v>
      </c>
      <c r="K364" s="448">
        <f t="shared" ca="1" si="161"/>
        <v>29.72972972972973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IFERROR(__xludf.DUMMYFUNCTION("IMPORTRANGE(""https://docs.google.com/spreadsheets/d/1QqKyyYR6Q21VydFLVH3TRQUabQu_ym0Zz7PgGX0-kHA/edit?usp=sharing"",""แผน!EJ17"")"),100)</f>
        <v>100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IFERROR(__xludf.DUMMYFUNCTION("IMPORTRANGE(""https://docs.google.com/spreadsheets/d/1XWAQStnk-4SwqDmLtmXYiTMKHgktTP8We1SCoS47DrQ/edit?usp=sharing"",""จัดที่ดิน!E17"")"),13)</f>
        <v>13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IFERROR(__xludf.DUMMYFUNCTION("IMPORTRANGE(""https://docs.google.com/spreadsheets/d/1QqKyyYR6Q21VydFLVH3TRQUabQu_ym0Zz7PgGX0-kHA/edit?usp=sharing"",""แผน!EI17"")"),1000)</f>
        <v>1000</v>
      </c>
      <c r="J369" s="270">
        <f ca="1">IFERROR(__xludf.DUMMYFUNCTION("IMPORTRANGE(""https://docs.google.com/spreadsheets/d/1XWAQStnk-4SwqDmLtmXYiTMKHgktTP8We1SCoS47DrQ/edit?usp=sharing"",""จัดที่ดิน!F17"")"),148.4)</f>
        <v>148.4</v>
      </c>
      <c r="K369" s="466">
        <f t="shared" ca="1" si="163"/>
        <v>14.84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IFERROR(__xludf.DUMMYFUNCTION("IMPORTRANGE(""https://docs.google.com/spreadsheets/d/1QqKyyYR6Q21VydFLVH3TRQUabQu_ym0Zz7PgGX0-kHA/edit?usp=sharing"",""แผน!EJ17"")"),100)</f>
        <v>100</v>
      </c>
      <c r="J370" s="270">
        <f ca="1">IFERROR(__xludf.DUMMYFUNCTION("IMPORTRANGE(""https://docs.google.com/spreadsheets/d/1XWAQStnk-4SwqDmLtmXYiTMKHgktTP8We1SCoS47DrQ/edit?usp=sharing"",""จัดที่ดิน!G17"")"),0)</f>
        <v>0</v>
      </c>
      <c r="K370" s="46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IFERROR(__xludf.DUMMYFUNCTION("IMPORTRANGE(""https://docs.google.com/spreadsheets/d/1XWAQStnk-4SwqDmLtmXYiTMKHgktTP8We1SCoS47DrQ/edit?usp=sharing"",""จัดที่ดิน!H17"")"),0)</f>
        <v>0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IFERROR(__xludf.DUMMYFUNCTION("IMPORTRANGE(""https://docs.google.com/spreadsheets/d/1QqKyyYR6Q21VydFLVH3TRQUabQu_ym0Zz7PgGX0-kHA/edit?usp=sharing"",""แผน!EJ17"")"),100)</f>
        <v>100</v>
      </c>
      <c r="J372" s="270">
        <f ca="1">IFERROR(__xludf.DUMMYFUNCTION("IMPORTRANGE(""https://docs.google.com/spreadsheets/d/1XWAQStnk-4SwqDmLtmXYiTMKHgktTP8We1SCoS47DrQ/edit?usp=sharing"",""จัดที่ดิน!I17"")"),0)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IFERROR(__xludf.DUMMYFUNCTION("IMPORTRANGE(""https://docs.google.com/spreadsheets/d/1XWAQStnk-4SwqDmLtmXYiTMKHgktTP8We1SCoS47DrQ/edit?usp=sharing"",""จัดที่ดิน!J17"")"),0)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IFERROR(__xludf.DUMMYFUNCTION("IMPORTRANGE(""https://docs.google.com/spreadsheets/d/1QqKyyYR6Q21VydFLVH3TRQUabQu_ym0Zz7PgGX0-kHA/edit?usp=sharing"",""แผน!EU17"")"),270)</f>
        <v>270</v>
      </c>
      <c r="J374" s="459">
        <f ca="1">J381</f>
        <v>110</v>
      </c>
      <c r="K374" s="460">
        <f t="shared" ca="1" si="163"/>
        <v>40.74074074074074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IFERROR(__xludf.DUMMYFUNCTION("IMPORTRANGE(""https://docs.google.com/spreadsheets/d/1XWAQStnk-4SwqDmLtmXYiTMKHgktTP8We1SCoS47DrQ/edit?usp=sharing"",""จัดที่ดิน!AH17"")"),39)</f>
        <v>39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IFERROR(__xludf.DUMMYFUNCTION("IMPORTRANGE(""https://docs.google.com/spreadsheets/d/1QqKyyYR6Q21VydFLVH3TRQUabQu_ym0Zz7PgGX0-kHA/edit?usp=sharing"",""แผน!ET17"")"),1500)</f>
        <v>1500</v>
      </c>
      <c r="J378" s="270">
        <f ca="1">IFERROR(__xludf.DUMMYFUNCTION("IMPORTRANGE(""https://docs.google.com/spreadsheets/d/1XWAQStnk-4SwqDmLtmXYiTMKHgktTP8We1SCoS47DrQ/edit?usp=sharing"",""จัดที่ดิน!AI17"")"),254.96)</f>
        <v>254.96</v>
      </c>
      <c r="K378" s="466">
        <f t="shared" ca="1" si="164"/>
        <v>16.997333333333334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IFERROR(__xludf.DUMMYFUNCTION("IMPORTRANGE(""https://docs.google.com/spreadsheets/d/1QqKyyYR6Q21VydFLVH3TRQUabQu_ym0Zz7PgGX0-kHA/edit?usp=sharing"",""แผน!EU17"")"),270)</f>
        <v>270</v>
      </c>
      <c r="J379" s="270">
        <f ca="1">IFERROR(__xludf.DUMMYFUNCTION("IMPORTRANGE(""https://docs.google.com/spreadsheets/d/1XWAQStnk-4SwqDmLtmXYiTMKHgktTP8We1SCoS47DrQ/edit?usp=sharing"",""จัดที่ดิน!AJ17"")"),145)</f>
        <v>145</v>
      </c>
      <c r="K379" s="466">
        <f t="shared" ca="1" si="164"/>
        <v>53.703703703703702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IFERROR(__xludf.DUMMYFUNCTION("IMPORTRANGE(""https://docs.google.com/spreadsheets/d/1XWAQStnk-4SwqDmLtmXYiTMKHgktTP8We1SCoS47DrQ/edit?usp=sharing"",""จัดที่ดิน!AK17"")"),2197.32)</f>
        <v>2197.3200000000002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IFERROR(__xludf.DUMMYFUNCTION("IMPORTRANGE(""https://docs.google.com/spreadsheets/d/1QqKyyYR6Q21VydFLVH3TRQUabQu_ym0Zz7PgGX0-kHA/edit?usp=sharing"",""แผน!EU17"")"),270)</f>
        <v>270</v>
      </c>
      <c r="J381" s="270">
        <f ca="1">IFERROR(__xludf.DUMMYFUNCTION("IMPORTRANGE(""https://docs.google.com/spreadsheets/d/1XWAQStnk-4SwqDmLtmXYiTMKHgktTP8We1SCoS47DrQ/edit?usp=sharing"",""จัดที่ดิน!AL17"")"),110)</f>
        <v>110</v>
      </c>
      <c r="K381" s="466">
        <f t="shared" ca="1" si="164"/>
        <v>40.74074074074074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IFERROR(__xludf.DUMMYFUNCTION("IMPORTRANGE(""https://docs.google.com/spreadsheets/d/1XWAQStnk-4SwqDmLtmXYiTMKHgktTP8We1SCoS47DrQ/edit?usp=sharing"",""จัดที่ดิน!AM17"")"),1942.36)</f>
        <v>1942.36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IFERROR(__xludf.DUMMYFUNCTION("IMPORTRANGE(""https://docs.google.com/spreadsheets/d/1QqKyyYR6Q21VydFLVH3TRQUabQu_ym0Zz7PgGX0-kHA/edit?usp=sharing"",""แผน!EW17"")"),50)</f>
        <v>50</v>
      </c>
      <c r="J385" s="469">
        <f ca="1">IFERROR(__xludf.DUMMYFUNCTION("IMPORTRANGE(""https://docs.google.com/spreadsheets/d/1XWAQStnk-4SwqDmLtmXYiTMKHgktTP8We1SCoS47DrQ/edit?usp=sharing"",""จัดที่ดิน!AP17"")"),0)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IFERROR(__xludf.DUMMYFUNCTION("IMPORTRANGE(""https://docs.google.com/spreadsheets/d/1MeEWN-I1oV_STSDYn1IFDPWt_1FKiwhDph83XaGc0o0/edit?usp=sharing"",""งบพรบ!FG17"")"),0)</f>
        <v>0</v>
      </c>
      <c r="M394" s="93">
        <f ca="1">IFERROR(__xludf.DUMMYFUNCTION("IMPORTRANGE(""https://docs.google.com/spreadsheets/d/1MeEWN-I1oV_STSDYn1IFDPWt_1FKiwhDph83XaGc0o0/edit?usp=sharing"",""งบพรบ!FL17"")"),0)</f>
        <v>0</v>
      </c>
      <c r="N394" s="93">
        <f ca="1">IFERROR(__xludf.DUMMYFUNCTION("IMPORTRANGE(""https://docs.google.com/spreadsheets/d/1MeEWN-I1oV_STSDYn1IFDPWt_1FKiwhDph83XaGc0o0/edit?usp=sharing"",""งบพรบ!FN17"")"),0)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IFERROR(__xludf.DUMMYFUNCTION("IMPORTRANGE(""https://docs.google.com/spreadsheets/d/1MeEWN-I1oV_STSDYn1IFDPWt_1FKiwhDph83XaGc0o0/edit?usp=sharing"",""งบพรบ!FJ17"")"),0)</f>
        <v>0</v>
      </c>
      <c r="M397" s="93">
        <f ca="1">IFERROR(__xludf.DUMMYFUNCTION("IMPORTRANGE(""https://docs.google.com/spreadsheets/d/1MeEWN-I1oV_STSDYn1IFDPWt_1FKiwhDph83XaGc0o0/edit?usp=sharing"",""งบพรบ!FM17"")"),0)</f>
        <v>0</v>
      </c>
      <c r="N397" s="93">
        <f ca="1">IFERROR(__xludf.DUMMYFUNCTION("IMPORTRANGE(""https://docs.google.com/spreadsheets/d/1MeEWN-I1oV_STSDYn1IFDPWt_1FKiwhDph83XaGc0o0/edit?usp=sharing"",""งบพรบ!FO17"")"),0)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IFERROR(__xludf.DUMMYFUNCTION("IMPORTRANGE(""https://docs.google.com/spreadsheets/d/1MeEWN-I1oV_STSDYn1IFDPWt_1FKiwhDph83XaGc0o0/edit?usp=sharing"",""งบพรบ!FQ17"")"),0)</f>
        <v>0</v>
      </c>
      <c r="M407" s="93">
        <f ca="1">IFERROR(__xludf.DUMMYFUNCTION("IMPORTRANGE(""https://docs.google.com/spreadsheets/d/1MeEWN-I1oV_STSDYn1IFDPWt_1FKiwhDph83XaGc0o0/edit?usp=sharing"",""งบพรบ!FV17"")"),0)</f>
        <v>0</v>
      </c>
      <c r="N407" s="93">
        <f ca="1">IFERROR(__xludf.DUMMYFUNCTION("IMPORTRANGE(""https://docs.google.com/spreadsheets/d/1MeEWN-I1oV_STSDYn1IFDPWt_1FKiwhDph83XaGc0o0/edit?usp=sharing"",""งบพรบ!FX17"")"),0)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IFERROR(__xludf.DUMMYFUNCTION("IMPORTRANGE(""https://docs.google.com/spreadsheets/d/1MeEWN-I1oV_STSDYn1IFDPWt_1FKiwhDph83XaGc0o0/edit?usp=sharing"",""งบพรบ!FT17"")"),0)</f>
        <v>0</v>
      </c>
      <c r="M410" s="93">
        <f ca="1">IFERROR(__xludf.DUMMYFUNCTION("IMPORTRANGE(""https://docs.google.com/spreadsheets/d/1MeEWN-I1oV_STSDYn1IFDPWt_1FKiwhDph83XaGc0o0/edit?usp=sharing"",""งบพรบ!FW17"")"),0)</f>
        <v>0</v>
      </c>
      <c r="N410" s="93">
        <f ca="1">IFERROR(__xludf.DUMMYFUNCTION("IMPORTRANGE(""https://docs.google.com/spreadsheets/d/1MeEWN-I1oV_STSDYn1IFDPWt_1FKiwhDph83XaGc0o0/edit?usp=sharing"",""งบพรบ!FY17"")"),0)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1268288</v>
      </c>
      <c r="M414" s="517">
        <f t="shared" si="181"/>
        <v>0</v>
      </c>
      <c r="N414" s="517">
        <f t="shared" si="181"/>
        <v>178340.2</v>
      </c>
      <c r="O414" s="517">
        <f ca="1">IF(L414&gt;0,N414*100/L414,0)</f>
        <v>14.061490765504365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15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66760</v>
      </c>
      <c r="M419" s="155">
        <f t="shared" si="184"/>
        <v>0</v>
      </c>
      <c r="N419" s="155">
        <f t="shared" si="184"/>
        <v>29520</v>
      </c>
      <c r="O419" s="155">
        <f t="shared" ref="O419:O424" ca="1" si="185">IF(L419&gt;0,N419*100/L419,0)</f>
        <v>44.21809466746555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66760</v>
      </c>
      <c r="M421" s="93">
        <f t="shared" si="187"/>
        <v>0</v>
      </c>
      <c r="N421" s="93">
        <f t="shared" si="187"/>
        <v>29520</v>
      </c>
      <c r="O421" s="93">
        <f t="shared" ca="1" si="185"/>
        <v>44.21809466746555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66760</v>
      </c>
      <c r="M422" s="466">
        <f t="shared" si="188"/>
        <v>0</v>
      </c>
      <c r="N422" s="466">
        <f t="shared" si="188"/>
        <v>29520</v>
      </c>
      <c r="O422" s="466">
        <f t="shared" ca="1" si="185"/>
        <v>44.21809466746555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IFERROR(__xludf.DUMMYFUNCTION("IMPORTRANGE(""https://docs.google.com/spreadsheets/d/1QqKyyYR6Q21VydFLVH3TRQUabQu_ym0Zz7PgGX0-kHA/edit?usp=sharing"",""แผน!EY17"")"),66760)</f>
        <v>66760</v>
      </c>
      <c r="M424" s="93">
        <v>0</v>
      </c>
      <c r="N424" s="93">
        <f>N425+N426+N427+N428</f>
        <v>29520</v>
      </c>
      <c r="O424" s="93">
        <f t="shared" ca="1" si="185"/>
        <v>44.21809466746555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17080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12440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15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1</v>
      </c>
      <c r="J434" s="647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IFERROR(__xludf.DUMMYFUNCTION("IMPORTRANGE(""https://docs.google.com/spreadsheets/d/1QqKyyYR6Q21VydFLVH3TRQUabQu_ym0Zz7PgGX0-kHA/edit?usp=sharing"",""แผน!FC17"")"),15)</f>
        <v>15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IFERROR(__xludf.DUMMYFUNCTION("IMPORTRANGE(""https://docs.google.com/spreadsheets/d/1QqKyyYR6Q21VydFLVH3TRQUabQu_ym0Zz7PgGX0-kHA/edit?usp=sharing"",""แผน!FD17"")"),0)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IFERROR(__xludf.DUMMYFUNCTION("IMPORTRANGE(""https://docs.google.com/spreadsheets/d/1QqKyyYR6Q21VydFLVH3TRQUabQu_ym0Zz7PgGX0-kHA/edit?usp=sharing"",""แผน!FE17"")"),0)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IFERROR(__xludf.DUMMYFUNCTION("IMPORTRANGE(""https://docs.google.com/spreadsheets/d/1QqKyyYR6Q21VydFLVH3TRQUabQu_ym0Zz7PgGX0-kHA/edit?usp=sharing"",""แผน!FF17"")"),15)</f>
        <v>15</v>
      </c>
      <c r="J439" s="549">
        <v>15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IFERROR(__xludf.DUMMYFUNCTION("IMPORTRANGE(""https://docs.google.com/spreadsheets/d/1QqKyyYR6Q21VydFLVH3TRQUabQu_ym0Zz7PgGX0-kHA/edit?usp=sharing"",""แผน!FG17"")"),1)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IFERROR(__xludf.DUMMYFUNCTION("IMPORTRANGE(""https://docs.google.com/spreadsheets/d/1QqKyyYR6Q21VydFLVH3TRQUabQu_ym0Zz7PgGX0-kHA/edit?usp=sharing"",""แผน!FH17"")"),0)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 hidden="1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 hidden="1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 hidden="1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 hidden="1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 hidden="1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 hidden="1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 hidden="1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 hidden="1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 hidden="1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 hidden="1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IFERROR(__xludf.DUMMYFUNCTION("IMPORTRANGE(""https://docs.google.com/spreadsheets/d/1QqKyyYR6Q21VydFLVH3TRQUabQu_ym0Zz7PgGX0-kHA/edit?usp=sharing"",""แผน!FN17"")"),0)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 hidden="1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 hidden="1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IFERROR(__xludf.DUMMYFUNCTION("IMPORTRANGE(""https://docs.google.com/spreadsheets/d/1QqKyyYR6Q21VydFLVH3TRQUabQu_ym0Zz7PgGX0-kHA/edit?usp=sharing"",""แผน!FO17"")"),0)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 hidden="1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IFERROR(__xludf.DUMMYFUNCTION("IMPORTRANGE(""https://docs.google.com/spreadsheets/d/1QqKyyYR6Q21VydFLVH3TRQUabQu_ym0Zz7PgGX0-kHA/edit?usp=sharing"",""แผน!FO17"")"),0)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 hidden="1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IFERROR(__xludf.DUMMYFUNCTION("IMPORTRANGE(""https://docs.google.com/spreadsheets/d/1QqKyyYR6Q21VydFLVH3TRQUabQu_ym0Zz7PgGX0-kHA/edit?usp=sharing"",""แผน!FN17"")"),0)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IFERROR(__xludf.DUMMYFUNCTION("IMPORTRANGE(""https://docs.google.com/spreadsheets/d/1QqKyyYR6Q21VydFLVH3TRQUabQu_ym0Zz7PgGX0-kHA/edit?usp=sharing"",""แผน!FX17"")"),51)</f>
        <v>51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IFERROR(__xludf.DUMMYFUNCTION("IMPORTRANGE(""https://docs.google.com/spreadsheets/d/1QqKyyYR6Q21VydFLVH3TRQUabQu_ym0Zz7PgGX0-kHA/edit?usp=sharing"",""แผน!FW17"")"),500)</f>
        <v>500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410813</v>
      </c>
      <c r="M467" s="195">
        <f t="shared" si="206"/>
        <v>0</v>
      </c>
      <c r="N467" s="195">
        <f t="shared" si="206"/>
        <v>5085</v>
      </c>
      <c r="O467" s="195">
        <f t="shared" ref="O467:O472" ca="1" si="207">IF(L467&gt;0,N467*100/L467,0)</f>
        <v>1.237789456516712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410813</v>
      </c>
      <c r="M469" s="93">
        <f t="shared" si="209"/>
        <v>0</v>
      </c>
      <c r="N469" s="93">
        <f t="shared" si="209"/>
        <v>5085</v>
      </c>
      <c r="O469" s="93">
        <f t="shared" ca="1" si="207"/>
        <v>1.237789456516712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410813</v>
      </c>
      <c r="M470" s="466">
        <f t="shared" si="210"/>
        <v>0</v>
      </c>
      <c r="N470" s="466">
        <f t="shared" si="210"/>
        <v>5085</v>
      </c>
      <c r="O470" s="466">
        <f t="shared" ca="1" si="207"/>
        <v>1.237789456516712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IFERROR(__xludf.DUMMYFUNCTION("IMPORTRANGE(""https://docs.google.com/spreadsheets/d/1QqKyyYR6Q21VydFLVH3TRQUabQu_ym0Zz7PgGX0-kHA/edit?usp=sharing"",""แผน!FS17"")"),410813)</f>
        <v>410813</v>
      </c>
      <c r="M472" s="93">
        <v>0</v>
      </c>
      <c r="N472" s="93">
        <f>N473+N474+N475+N476</f>
        <v>5085</v>
      </c>
      <c r="O472" s="93">
        <f t="shared" ca="1" si="207"/>
        <v>1.237789456516712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5085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IFERROR(__xludf.DUMMYFUNCTION("IMPORTRANGE(""https://docs.google.com/spreadsheets/d/1QqKyyYR6Q21VydFLVH3TRQUabQu_ym0Zz7PgGX0-kHA/edit?usp=sharing"",""แผน!FY17"")"),450)</f>
        <v>450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IFERROR(__xludf.DUMMYFUNCTION("IMPORTRANGE(""https://docs.google.com/spreadsheets/d/1QqKyyYR6Q21VydFLVH3TRQUabQu_ym0Zz7PgGX0-kHA/edit?usp=sharing"",""แผน!FZ17"")"),45)</f>
        <v>45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IFERROR(__xludf.DUMMYFUNCTION("IMPORTRANGE(""https://docs.google.com/spreadsheets/d/1QqKyyYR6Q21VydFLVH3TRQUabQu_ym0Zz7PgGX0-kHA/edit?usp=sharing"",""แผน!GA17"")"),50)</f>
        <v>50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IFERROR(__xludf.DUMMYFUNCTION("IMPORTRANGE(""https://docs.google.com/spreadsheets/d/1QqKyyYR6Q21VydFLVH3TRQUabQu_ym0Zz7PgGX0-kHA/edit?usp=sharing"",""แผน!GB17"")"),5)</f>
        <v>5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IFERROR(__xludf.DUMMYFUNCTION("IMPORTRANGE(""https://docs.google.com/spreadsheets/d/1QqKyyYR6Q21VydFLVH3TRQUabQu_ym0Zz7PgGX0-kHA/edit?usp=sharing"",""แผน!GC17"")"),1)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IFERROR(__xludf.DUMMYFUNCTION("IMPORTRANGE(""https://docs.google.com/spreadsheets/d/1QqKyyYR6Q21VydFLVH3TRQUabQu_ym0Zz7PgGX0-kHA/edit?usp=sharing"",""แผน!FY17"")"),450)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IFERROR(__xludf.DUMMYFUNCTION("IMPORTRANGE(""https://docs.google.com/spreadsheets/d/1QqKyyYR6Q21VydFLVH3TRQUabQu_ym0Zz7PgGX0-kHA/edit?usp=sharing"",""แผน!GA17"")"),50)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IFERROR(__xludf.DUMMYFUNCTION("IMPORTRANGE(""https://docs.google.com/spreadsheets/d/1QqKyyYR6Q21VydFLVH3TRQUabQu_ym0Zz7PgGX0-kHA/edit?usp=sharing"",""แผน!GU17"")"),0)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IFERROR(__xludf.DUMMYFUNCTION("IMPORTRANGE(""https://docs.google.com/spreadsheets/d/1QqKyyYR6Q21VydFLVH3TRQUabQu_ym0Zz7PgGX0-kHA/edit?usp=sharing"",""แผน!GV17"")"),0)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IFERROR(__xludf.DUMMYFUNCTION("IMPORTRANGE(""https://docs.google.com/spreadsheets/d/1QqKyyYR6Q21VydFLVH3TRQUabQu_ym0Zz7PgGX0-kHA/edit?usp=sharing"",""แผน!GW17"")"),0)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IFERROR(__xludf.DUMMYFUNCTION("IMPORTRANGE(""https://docs.google.com/spreadsheets/d/1QqKyyYR6Q21VydFLVH3TRQUabQu_ym0Zz7PgGX0-kHA/edit?usp=sharing"",""แผน!GX17"")"),0)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IFERROR(__xludf.DUMMYFUNCTION("IMPORTRANGE(""https://docs.google.com/spreadsheets/d/1QqKyyYR6Q21VydFLVH3TRQUabQu_ym0Zz7PgGX0-kHA/edit?usp=sharing"",""แผน!GY17"")"),0)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IFERROR(__xludf.DUMMYFUNCTION("IMPORTRANGE(""https://docs.google.com/spreadsheets/d/1QqKyyYR6Q21VydFLVH3TRQUabQu_ym0Zz7PgGX0-kHA/edit?usp=sharing"",""แผน!GZ17"")"),0)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43092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349735</v>
      </c>
      <c r="M544" s="155">
        <f t="shared" si="236"/>
        <v>0</v>
      </c>
      <c r="N544" s="155">
        <f t="shared" si="236"/>
        <v>73995.199999999997</v>
      </c>
      <c r="O544" s="155">
        <f t="shared" ref="O544:O549" ca="1" si="237">IF(L544&gt;0,N544*100/L544,0)</f>
        <v>21.157504968047235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349735</v>
      </c>
      <c r="M546" s="93">
        <f t="shared" si="240"/>
        <v>0</v>
      </c>
      <c r="N546" s="93">
        <f t="shared" si="240"/>
        <v>73995.199999999997</v>
      </c>
      <c r="O546" s="93">
        <f t="shared" ca="1" si="237"/>
        <v>21.157504968047235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349735</v>
      </c>
      <c r="M547" s="466">
        <f t="shared" si="241"/>
        <v>0</v>
      </c>
      <c r="N547" s="466">
        <f t="shared" si="241"/>
        <v>73995.199999999997</v>
      </c>
      <c r="O547" s="466">
        <f t="shared" ca="1" si="237"/>
        <v>21.157504968047235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IFERROR(__xludf.DUMMYFUNCTION("IMPORTRANGE(""https://docs.google.com/spreadsheets/d/1QqKyyYR6Q21VydFLVH3TRQUabQu_ym0Zz7PgGX0-kHA/edit?usp=sharing"",""แผน!HB17"")"),349735)</f>
        <v>349735</v>
      </c>
      <c r="M549" s="93">
        <v>0</v>
      </c>
      <c r="N549" s="93">
        <f>N550+N551+N552+N553+N554</f>
        <v>73995.199999999997</v>
      </c>
      <c r="O549" s="93">
        <f t="shared" ca="1" si="237"/>
        <v>21.157504968047235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26000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47995.199999999997</v>
      </c>
      <c r="O553" s="466"/>
      <c r="P553" s="466"/>
      <c r="Q553" s="542"/>
      <c r="R553" s="542">
        <f>20515+14300.2</f>
        <v>34815.199999999997</v>
      </c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43092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IFERROR(__xludf.DUMMYFUNCTION("IMPORTRANGE(""https://docs.google.com/spreadsheets/d/1QqKyyYR6Q21VydFLVH3TRQUabQu_ym0Zz7PgGX0-kHA/edit?usp=sharing"",""แผน!HH17"")"),43092)</f>
        <v>43092</v>
      </c>
      <c r="J560" s="193">
        <f t="shared" ref="J560:J561" si="247">J562+J564+J566</f>
        <v>24731</v>
      </c>
      <c r="K560" s="380">
        <f t="shared" ca="1" si="246"/>
        <v>57.391163092917481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IFERROR(__xludf.DUMMYFUNCTION("IMPORTRANGE(""https://docs.google.com/spreadsheets/d/1QqKyyYR6Q21VydFLVH3TRQUabQu_ym0Zz7PgGX0-kHA/edit?usp=sharing"",""แผน!HG17"")"),5108)</f>
        <v>5108</v>
      </c>
      <c r="J561" s="193">
        <f t="shared" si="247"/>
        <v>2650</v>
      </c>
      <c r="K561" s="380">
        <f t="shared" ca="1" si="246"/>
        <v>51.879404855129209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22116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2449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1916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131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699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70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IFERROR(__xludf.DUMMYFUNCTION("IMPORTRANGE(""https://docs.google.com/spreadsheets/d/1QqKyyYR6Q21VydFLVH3TRQUabQu_ym0Zz7PgGX0-kHA/edit?usp=sharing"",""แผน!HH17"")"),43092)</f>
        <v>43092</v>
      </c>
      <c r="J568" s="647">
        <f t="shared" ref="J568:J569" si="248">J570+J572+J574</f>
        <v>784</v>
      </c>
      <c r="K568" s="380">
        <f t="shared" ref="K568:K569" ca="1" si="249">IF(I568&gt;0,J568*100/I568,0)</f>
        <v>1.8193632228719947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IFERROR(__xludf.DUMMYFUNCTION("IMPORTRANGE(""https://docs.google.com/spreadsheets/d/1QqKyyYR6Q21VydFLVH3TRQUabQu_ym0Zz7PgGX0-kHA/edit?usp=sharing"",""แผน!HG17"")"),5108)</f>
        <v>5108</v>
      </c>
      <c r="J569" s="647">
        <f t="shared" si="248"/>
        <v>78</v>
      </c>
      <c r="K569" s="380">
        <f t="shared" ca="1" si="249"/>
        <v>1.5270164447924823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707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69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77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9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IFERROR(__xludf.DUMMYFUNCTION("IMPORTRANGE(""https://docs.google.com/spreadsheets/d/1QqKyyYR6Q21VydFLVH3TRQUabQu_ym0Zz7PgGX0-kHA/edit?usp=sharing"",""แผน!HH17"")"),43092)</f>
        <v>43092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IFERROR(__xludf.DUMMYFUNCTION("IMPORTRANGE(""https://docs.google.com/spreadsheets/d/1QqKyyYR6Q21VydFLVH3TRQUabQu_ym0Zz7PgGX0-kHA/edit?usp=sharing"",""แผน!HG17"")"),5108)</f>
        <v>5108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 hidden="1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0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 hidden="1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IFERROR(__xludf.DUMMYFUNCTION("IMPORTRANGE(""https://docs.google.com/spreadsheets/d/1QqKyyYR6Q21VydFLVH3TRQUabQu_ym0Zz7PgGX0-kHA/edit?usp=sharing"",""แผน!HJ17"")"),0)</f>
        <v>0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 hidden="1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IFERROR(__xludf.DUMMYFUNCTION("IMPORTRANGE(""https://docs.google.com/spreadsheets/d/1QqKyyYR6Q21VydFLVH3TRQUabQu_ym0Zz7PgGX0-kHA/edit?usp=sharing"",""แผน!HI17"")"),0)</f>
        <v>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 hidden="1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 hidden="1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 hidden="1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 hidden="1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 hidden="1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 hidden="1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 hidden="1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 hidden="1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 hidden="1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 hidden="1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 hidden="1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 hidden="1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 hidden="1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 hidden="1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 hidden="1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 hidden="1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IFERROR(__xludf.DUMMYFUNCTION("IMPORTRANGE(""https://docs.google.com/spreadsheets/d/1QqKyyYR6Q21VydFLVH3TRQUabQu_ym0Zz7PgGX0-kHA/edit?usp=sharing"",""แผน!HL17"")"),0)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IFERROR(__xludf.DUMMYFUNCTION("IMPORTRANGE(""https://docs.google.com/spreadsheets/d/1QqKyyYR6Q21VydFLVH3TRQUabQu_ym0Zz7PgGX0-kHA/edit?usp=sharing"",""แผน!HK17"")"),0)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915" t="s">
        <v>35</v>
      </c>
      <c r="I628" s="705">
        <f t="shared" ref="I628:J628" ca="1" si="262">I651</f>
        <v>250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440980</v>
      </c>
      <c r="M629" s="195">
        <f t="shared" si="263"/>
        <v>0</v>
      </c>
      <c r="N629" s="195">
        <f t="shared" si="263"/>
        <v>69740</v>
      </c>
      <c r="O629" s="195">
        <f t="shared" ref="O629:O634" ca="1" si="264">IF(L629&gt;0,N629*100/L629,0)</f>
        <v>15.814776180325639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440980</v>
      </c>
      <c r="M631" s="93">
        <f t="shared" si="266"/>
        <v>0</v>
      </c>
      <c r="N631" s="93">
        <f t="shared" si="266"/>
        <v>69740</v>
      </c>
      <c r="O631" s="93">
        <f t="shared" ca="1" si="264"/>
        <v>15.814776180325639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440980</v>
      </c>
      <c r="M632" s="466">
        <f t="shared" si="267"/>
        <v>0</v>
      </c>
      <c r="N632" s="466">
        <f t="shared" si="267"/>
        <v>69740</v>
      </c>
      <c r="O632" s="466">
        <f t="shared" ca="1" si="264"/>
        <v>15.814776180325639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IFERROR(__xludf.DUMMYFUNCTION("IMPORTRANGE(""https://docs.google.com/spreadsheets/d/1QqKyyYR6Q21VydFLVH3TRQUabQu_ym0Zz7PgGX0-kHA/edit?usp=sharing"",""แผน!HN17"")"),440980)</f>
        <v>440980</v>
      </c>
      <c r="M634" s="93">
        <v>0</v>
      </c>
      <c r="N634" s="93">
        <f>N635+N636+N637+N638</f>
        <v>69740</v>
      </c>
      <c r="O634" s="93">
        <f t="shared" ca="1" si="264"/>
        <v>15.814776180325639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26000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43740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IFERROR(__xludf.DUMMYFUNCTION("IMPORTRANGE(""https://docs.google.com/spreadsheets/d/1QqKyyYR6Q21VydFLVH3TRQUabQu_ym0Zz7PgGX0-kHA/edit?usp=sharing"",""แผน!HR17"")"),0)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IFERROR(__xludf.DUMMYFUNCTION("IMPORTRANGE(""https://docs.google.com/spreadsheets/d/1QqKyyYR6Q21VydFLVH3TRQUabQu_ym0Zz7PgGX0-kHA/edit?usp=sharing"",""แผน!HR17"")"),0)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IFERROR(__xludf.DUMMYFUNCTION("IMPORTRANGE(""https://docs.google.com/spreadsheets/d/1XWAQStnk-4SwqDmLtmXYiTMKHgktTP8We1SCoS47DrQ/edit?usp=sharing"",""จัดที่ดิน!AS17"")"),0)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IFERROR(__xludf.DUMMYFUNCTION("IMPORTRANGE(""https://docs.google.com/spreadsheets/d/1XWAQStnk-4SwqDmLtmXYiTMKHgktTP8We1SCoS47DrQ/edit?usp=sharing"",""จัดที่ดิน!AT17"")"),0)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IFERROR(__xludf.DUMMYFUNCTION("IMPORTRANGE(""https://docs.google.com/spreadsheets/d/1QqKyyYR6Q21VydFLVH3TRQUabQu_ym0Zz7PgGX0-kHA/edit?usp=sharing"",""แผน!HS17"")"),250)</f>
        <v>250</v>
      </c>
      <c r="J647" s="270">
        <f ca="1">IFERROR(__xludf.DUMMYFUNCTION("IMPORTRANGE(""https://docs.google.com/spreadsheets/d/1XWAQStnk-4SwqDmLtmXYiTMKHgktTP8We1SCoS47DrQ/edit?usp=sharing"",""จัดที่ดิน!AU17"")"),7)</f>
        <v>7</v>
      </c>
      <c r="K647" s="163">
        <f t="shared" ca="1" si="271"/>
        <v>2.8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IFERROR(__xludf.DUMMYFUNCTION("IMPORTRANGE(""https://docs.google.com/spreadsheets/d/1XWAQStnk-4SwqDmLtmXYiTMKHgktTP8We1SCoS47DrQ/edit?usp=sharing"",""จัดที่ดิน!AV17"")"),4.57)</f>
        <v>4.57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IFERROR(__xludf.DUMMYFUNCTION("IMPORTRANGE(""https://docs.google.com/spreadsheets/d/1QqKyyYR6Q21VydFLVH3TRQUabQu_ym0Zz7PgGX0-kHA/edit?usp=sharing"",""แผน!HS17"")"),250)</f>
        <v>250</v>
      </c>
      <c r="J649" s="270">
        <f ca="1">IFERROR(__xludf.DUMMYFUNCTION("IMPORTRANGE(""https://docs.google.com/spreadsheets/d/1XWAQStnk-4SwqDmLtmXYiTMKHgktTP8We1SCoS47DrQ/edit?usp=sharing"",""จัดที่ดิน!AW17"")"),0)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IFERROR(__xludf.DUMMYFUNCTION("IMPORTRANGE(""https://docs.google.com/spreadsheets/d/1XWAQStnk-4SwqDmLtmXYiTMKHgktTP8We1SCoS47DrQ/edit?usp=sharing"",""จัดที่ดิน!AX17"")"),0)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IFERROR(__xludf.DUMMYFUNCTION("IMPORTRANGE(""https://docs.google.com/spreadsheets/d/1QqKyyYR6Q21VydFLVH3TRQUabQu_ym0Zz7PgGX0-kHA/edit?usp=sharing"",""แผน!HS17"")"),250)</f>
        <v>250</v>
      </c>
      <c r="J651" s="270">
        <f ca="1">IFERROR(__xludf.DUMMYFUNCTION("IMPORTRANGE(""https://docs.google.com/spreadsheets/d/1XWAQStnk-4SwqDmLtmXYiTMKHgktTP8We1SCoS47DrQ/edit?usp=sharing"",""จัดที่ดิน!AY17"")"),0)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IFERROR(__xludf.DUMMYFUNCTION("IMPORTRANGE(""https://docs.google.com/spreadsheets/d/1XWAQStnk-4SwqDmLtmXYiTMKHgktTP8We1SCoS47DrQ/edit?usp=sharing"",""จัดที่ดิน!AZ17"")"),0)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IFERROR(__xludf.DUMMYFUNCTION("IMPORTRANGE(""https://docs.google.com/spreadsheets/d/1QqKyyYR6Q21VydFLVH3TRQUabQu_ym0Zz7PgGX0-kHA/edit?usp=sharing"",""แผน!IA17"")"),0)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IFERROR(__xludf.DUMMYFUNCTION("IMPORTRANGE(""https://docs.google.com/spreadsheets/d/1QqKyyYR6Q21VydFLVH3TRQUabQu_ym0Zz7PgGX0-kHA/edit?usp=sharing"",""แผน!HZ17"")"),0)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IFERROR(__xludf.DUMMYFUNCTION("IMPORTRANGE(""https://docs.google.com/spreadsheets/d/1QqKyyYR6Q21VydFLVH3TRQUabQu_ym0Zz7PgGX0-kHA/edit?usp=sharing"",""แผน!HZ17"")"),0)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IFERROR(__xludf.DUMMYFUNCTION("IMPORTRANGE(""https://docs.google.com/spreadsheets/d/1QqKyyYR6Q21VydFLVH3TRQUabQu_ym0Zz7PgGX0-kHA/edit?usp=sharing"",""แผน!IB17"")"),0)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IFERROR(__xludf.DUMMYFUNCTION("IMPORTRANGE(""https://docs.google.com/spreadsheets/d/1QqKyyYR6Q21VydFLVH3TRQUabQu_ym0Zz7PgGX0-kHA/edit?usp=sharing"",""แผน!IC17"")"),0)</f>
        <v>0</v>
      </c>
      <c r="J699" s="270">
        <f ca="1">IFERROR(__xludf.DUMMYFUNCTION("IMPORTRANGE(""https://docs.google.com/spreadsheets/d/1XWAQStnk-4SwqDmLtmXYiTMKHgktTP8We1SCoS47DrQ/edit?usp=sharing"",""จัดที่ดิน!BB17"")"),0)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IFERROR(__xludf.DUMMYFUNCTION("IMPORTRANGE(""https://docs.google.com/spreadsheets/d/1QqKyyYR6Q21VydFLVH3TRQUabQu_ym0Zz7PgGX0-kHA/edit?usp=sharing"",""แผน!ID17"")"),0)</f>
        <v>0</v>
      </c>
      <c r="J700" s="270">
        <f ca="1">IFERROR(__xludf.DUMMYFUNCTION("IMPORTRANGE(""https://docs.google.com/spreadsheets/d/1XWAQStnk-4SwqDmLtmXYiTMKHgktTP8We1SCoS47DrQ/edit?usp=sharing"",""จัดที่ดิน!BD17"")"),0)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IFERROR(__xludf.DUMMYFUNCTION("IMPORTRANGE(""https://docs.google.com/spreadsheets/d/1QqKyyYR6Q21VydFLVH3TRQUabQu_ym0Zz7PgGX0-kHA/edit?usp=sharing"",""แผน!IE17"")"),0)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IFERROR(__xludf.DUMMYFUNCTION("IMPORTRANGE(""https://docs.google.com/spreadsheets/d/1QqKyyYR6Q21VydFLVH3TRQUabQu_ym0Zz7PgGX0-kHA/edit?usp=sharing"",""แผน!IF17"")"),0)</f>
        <v>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IFERROR(__xludf.DUMMYFUNCTION("IMPORTRANGE(""https://docs.google.com/spreadsheets/d/1QqKyyYR6Q21VydFLVH3TRQUabQu_ym0Zz7PgGX0-kHA/edit?usp=sharing"",""แผน!IG17"")"),0)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IFERROR(__xludf.DUMMYFUNCTION("IMPORTRANGE(""https://docs.google.com/spreadsheets/d/1QqKyyYR6Q21VydFLVH3TRQUabQu_ym0Zz7PgGX0-kHA/edit?usp=sharing"",""แผน!IH17"")"),0)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IFERROR(__xludf.DUMMYFUNCTION("IMPORTRANGE(""https://docs.google.com/spreadsheets/d/1XWAQStnk-4SwqDmLtmXYiTMKHgktTP8We1SCoS47DrQ/edit?usp=sharing"",""จัดที่ดิน!BF17"")"),0)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IFERROR(__xludf.DUMMYFUNCTION("IMPORTRANGE(""https://docs.google.com/spreadsheets/d/1XWAQStnk-4SwqDmLtmXYiTMKHgktTP8We1SCoS47DrQ/edit?usp=sharing"",""จัดที่ดิน!BG17"")"),0)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IFERROR(__xludf.DUMMYFUNCTION("IMPORTRANGE(""https://docs.google.com/spreadsheets/d/1QqKyyYR6Q21VydFLVH3TRQUabQu_ym0Zz7PgGX0-kHA/edit?usp=sharing"",""แผน!II17"")"),0)</f>
        <v>0</v>
      </c>
      <c r="J720" s="270">
        <f ca="1">IFERROR(__xludf.DUMMYFUNCTION("IMPORTRANGE(""https://docs.google.com/spreadsheets/d/1XWAQStnk-4SwqDmLtmXYiTMKHgktTP8We1SCoS47DrQ/edit?usp=sharing"",""จัดที่ดิน!BH17"")"),0)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IFERROR(__xludf.DUMMYFUNCTION("IMPORTRANGE(""https://docs.google.com/spreadsheets/d/1QqKyyYR6Q21VydFLVH3TRQUabQu_ym0Zz7PgGX0-kHA/edit?usp=sharing"",""แผน!IJ17"")"),0)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IFERROR(__xludf.DUMMYFUNCTION("IMPORTRANGE(""https://docs.google.com/spreadsheets/d/1QqKyyYR6Q21VydFLVH3TRQUabQu_ym0Zz7PgGX0-kHA/edit?usp=sharing"",""แผน!IK17"")"),0)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IFERROR(__xludf.DUMMYFUNCTION("IMPORTRANGE(""https://docs.google.com/spreadsheets/d/1QqKyyYR6Q21VydFLVH3TRQUabQu_ym0Zz7PgGX0-kHA/edit?usp=sharing"",""แผน!IL17"")"),0)</f>
        <v>0</v>
      </c>
      <c r="J723" s="270">
        <f ca="1">IFERROR(__xludf.DUMMYFUNCTION("IMPORTRANGE(""https://docs.google.com/spreadsheets/d/1XWAQStnk-4SwqDmLtmXYiTMKHgktTP8We1SCoS47DrQ/edit?usp=sharing"",""จัดที่ดิน!BM17"")"),0)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IFERROR(__xludf.DUMMYFUNCTION("IMPORTRANGE(""https://docs.google.com/spreadsheets/d/1XWAQStnk-4SwqDmLtmXYiTMKHgktTP8We1SCoS47DrQ/edit?usp=sharing"",""จัดที่ดิน!BN17"")"),0)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IFERROR(__xludf.DUMMYFUNCTION("IMPORTRANGE(""https://docs.google.com/spreadsheets/d/1QqKyyYR6Q21VydFLVH3TRQUabQu_ym0Zz7PgGX0-kHA/edit?usp=sharing"",""แผน!IM17"")"),0)</f>
        <v>0</v>
      </c>
      <c r="J725" s="270">
        <f ca="1">IFERROR(__xludf.DUMMYFUNCTION("IMPORTRANGE(""https://docs.google.com/spreadsheets/d/1XWAQStnk-4SwqDmLtmXYiTMKHgktTP8We1SCoS47DrQ/edit?usp=sharing"",""จัดที่ดิน!BO17"")"),0)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IFERROR(__xludf.DUMMYFUNCTION("IMPORTRANGE(""https://docs.google.com/spreadsheets/d/1QqKyyYR6Q21VydFLVH3TRQUabQu_ym0Zz7PgGX0-kHA/edit?usp=sharing"",""แผน!IN17"")"),0)</f>
        <v>0</v>
      </c>
      <c r="J726" s="270">
        <f ca="1">IFERROR(__xludf.DUMMYFUNCTION("IMPORTRANGE(""https://docs.google.com/spreadsheets/d/1XWAQStnk-4SwqDmLtmXYiTMKHgktTP8We1SCoS47DrQ/edit?usp=sharing"",""จัดที่ดิน!BR17"")"),0)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IFERROR(__xludf.DUMMYFUNCTION("IMPORTRANGE(""https://docs.google.com/spreadsheets/d/1XWAQStnk-4SwqDmLtmXYiTMKHgktTP8We1SCoS47DrQ/edit?usp=sharing"",""จัดที่ดิน!BS17"")"),0)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IFERROR(__xludf.DUMMYFUNCTION("IMPORTRANGE(""https://docs.google.com/spreadsheets/d/1QqKyyYR6Q21VydFLVH3TRQUabQu_ym0Zz7PgGX0-kHA/edit?usp=sharing"",""แผน!IO17"")"),0)</f>
        <v>0</v>
      </c>
      <c r="J728" s="270">
        <f ca="1">IFERROR(__xludf.DUMMYFUNCTION("IMPORTRANGE(""https://docs.google.com/spreadsheets/d/1XWAQStnk-4SwqDmLtmXYiTMKHgktTP8We1SCoS47DrQ/edit?usp=sharing"",""จัดที่ดิน!BT17"")"),0)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IFERROR(__xludf.DUMMYFUNCTION("IMPORTRANGE(""https://docs.google.com/spreadsheets/d/1QqKyyYR6Q21VydFLVH3TRQUabQu_ym0Zz7PgGX0-kHA/edit?usp=sharing"",""แผน!IP17"")"),0)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84">
        <f ca="1">I800</f>
        <v>0</v>
      </c>
      <c r="J785" s="771">
        <f ca="1">J801</f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563" t="s">
        <v>12</v>
      </c>
      <c r="I786" s="270"/>
      <c r="J786" s="270"/>
      <c r="K786" s="46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165" t="s">
        <v>12</v>
      </c>
      <c r="I787" s="584"/>
      <c r="J787" s="584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165" t="s">
        <v>12</v>
      </c>
      <c r="I788" s="584"/>
      <c r="J788" s="584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27"/>
      <c r="F789" s="727"/>
      <c r="G789" s="189"/>
      <c r="H789" s="776" t="s">
        <v>12</v>
      </c>
      <c r="I789" s="184"/>
      <c r="J789" s="184"/>
      <c r="K789" s="163"/>
      <c r="L789" s="466">
        <f t="shared" ref="L789:N789" ca="1" si="322">L790+L791</f>
        <v>0</v>
      </c>
      <c r="M789" s="466">
        <f t="shared" si="322"/>
        <v>0</v>
      </c>
      <c r="N789" s="466">
        <f t="shared" si="322"/>
        <v>0</v>
      </c>
      <c r="O789" s="466">
        <f t="shared" ca="1" si="319"/>
        <v>0</v>
      </c>
      <c r="P789" s="466">
        <f t="shared" si="320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IFERROR(__xludf.DUMMYFUNCTION("IMPORTRANGE(""https://docs.google.com/spreadsheets/d/1QqKyyYR6Q21VydFLVH3TRQUabQu_ym0Zz7PgGX0-kHA/edit?usp=sharing"",""แผน!JJ17"")"),0)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27"/>
      <c r="D792" s="727"/>
      <c r="E792" s="727"/>
      <c r="F792" s="727" t="s">
        <v>186</v>
      </c>
      <c r="G792" s="189"/>
      <c r="H792" s="776" t="s">
        <v>12</v>
      </c>
      <c r="I792" s="270"/>
      <c r="J792" s="270"/>
      <c r="K792" s="466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27"/>
      <c r="D793" s="727"/>
      <c r="E793" s="727"/>
      <c r="F793" s="727" t="s">
        <v>187</v>
      </c>
      <c r="G793" s="189"/>
      <c r="H793" s="776" t="s">
        <v>12</v>
      </c>
      <c r="I793" s="270"/>
      <c r="J793" s="270"/>
      <c r="K793" s="466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27"/>
      <c r="D794" s="727"/>
      <c r="E794" s="727"/>
      <c r="F794" s="727" t="s">
        <v>188</v>
      </c>
      <c r="G794" s="189"/>
      <c r="H794" s="776" t="s">
        <v>12</v>
      </c>
      <c r="I794" s="270"/>
      <c r="J794" s="270"/>
      <c r="K794" s="466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27"/>
      <c r="D795" s="727"/>
      <c r="E795" s="727"/>
      <c r="F795" s="727" t="s">
        <v>189</v>
      </c>
      <c r="G795" s="189"/>
      <c r="H795" s="776" t="s">
        <v>12</v>
      </c>
      <c r="I795" s="270"/>
      <c r="J795" s="270"/>
      <c r="K795" s="466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27"/>
      <c r="D796" s="571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6">
        <f t="shared" ref="L796:N796" si="323">L797+L798</f>
        <v>0</v>
      </c>
      <c r="M796" s="466">
        <f t="shared" si="323"/>
        <v>0</v>
      </c>
      <c r="N796" s="466">
        <f t="shared" si="323"/>
        <v>0</v>
      </c>
      <c r="O796" s="466">
        <f t="shared" ref="O796:O798" si="324">IF(L796&gt;0,N796*100/L796,0)</f>
        <v>0</v>
      </c>
      <c r="P796" s="466">
        <f t="shared" ref="P796:P798" si="325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774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6"/>
      <c r="H800" s="775" t="s">
        <v>34</v>
      </c>
      <c r="I800" s="184">
        <f ca="1">IFERROR(__xludf.DUMMYFUNCTION("IMPORTRANGE(""https://docs.google.com/spreadsheets/d/1QqKyyYR6Q21VydFLVH3TRQUabQu_ym0Zz7PgGX0-kHA/edit?usp=sharing"",""แผน!JN17"")"),0)</f>
        <v>0</v>
      </c>
      <c r="J800" s="184">
        <f ca="1">IFERROR(__xludf.DUMMYFUNCTION("IMPORTRANGE(""https://docs.google.com/spreadsheets/d/1MaWodYyGHDf7siQLGxnXhG4mBNTNIuy296niS2xXulU/edit?usp=sharing"",""RTK!H17"")"),0)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6"/>
      <c r="H801" s="776" t="s">
        <v>46</v>
      </c>
      <c r="I801" s="184"/>
      <c r="J801" s="270">
        <f ca="1">IFERROR(__xludf.DUMMYFUNCTION("IMPORTRANGE(""https://docs.google.com/spreadsheets/d/1MaWodYyGHDf7siQLGxnXhG4mBNTNIuy296niS2xXulU/edit?usp=sharing"",""RTK!I17"")"),0)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4"/>
      <c r="F802" s="684" t="s">
        <v>321</v>
      </c>
      <c r="G802" s="582"/>
      <c r="H802" s="619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4"/>
      <c r="F803" s="684"/>
      <c r="G803" s="582"/>
      <c r="H803" s="619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IFERROR(__xludf.DUMMYFUNCTION("IMPORTRANGE(""https://docs.google.com/spreadsheets/d/19vJNZY_5yjcGF2XGBMNZRCAIB0Kwfpjp8YEOfu-bneM/edit?usp=sharing"",""งานกองทุน!D17"")"),2510000)</f>
        <v>2510000</v>
      </c>
      <c r="J821" s="270">
        <f ca="1">IFERROR(__xludf.DUMMYFUNCTION("IMPORTRANGE(""https://docs.google.com/spreadsheets/d/19vJNZY_5yjcGF2XGBMNZRCAIB0Kwfpjp8YEOfu-bneM/edit?usp=sharing"",""งานกองทุน!F17"")"),94995)</f>
        <v>94995</v>
      </c>
      <c r="K821" s="466">
        <f t="shared" ref="K821:K828" ca="1" si="334">IF(I821&gt;0,J821*100/I821,0)</f>
        <v>3.7846613545816732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IFERROR(__xludf.DUMMYFUNCTION("IMPORTRANGE(""https://docs.google.com/spreadsheets/d/19vJNZY_5yjcGF2XGBMNZRCAIB0Kwfpjp8YEOfu-bneM/edit?usp=sharing"",""งานกองทุน!C17"")"),224)</f>
        <v>224</v>
      </c>
      <c r="J822" s="270">
        <f ca="1">IFERROR(__xludf.DUMMYFUNCTION("IMPORTRANGE(""https://docs.google.com/spreadsheets/d/19vJNZY_5yjcGF2XGBMNZRCAIB0Kwfpjp8YEOfu-bneM/edit?usp=sharing"",""งานกองทุน!E17"")"),5)</f>
        <v>5</v>
      </c>
      <c r="K822" s="466">
        <f t="shared" ca="1" si="334"/>
        <v>2.2321428571428572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270">
        <f ca="1">IFERROR(__xludf.DUMMYFUNCTION("IMPORTRANGE(""https://docs.google.com/spreadsheets/d/19vJNZY_5yjcGF2XGBMNZRCAIB0Kwfpjp8YEOfu-bneM/edit?usp=sharing"",""งานกองทุน!K17"")"),283631.5)</f>
        <v>283631.5</v>
      </c>
      <c r="K823" s="466">
        <f t="shared" ca="1" si="334"/>
        <v>3.5196607535040698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IFERROR(__xludf.DUMMYFUNCTION("IMPORTRANGE(""https://docs.google.com/spreadsheets/d/19vJNZY_5yjcGF2XGBMNZRCAIB0Kwfpjp8YEOfu-bneM/edit?usp=sharing"",""งานกองทุน!H17"")"),314)</f>
        <v>314</v>
      </c>
      <c r="J824" s="270">
        <f ca="1">IFERROR(__xludf.DUMMYFUNCTION("IMPORTRANGE(""https://docs.google.com/spreadsheets/d/19vJNZY_5yjcGF2XGBMNZRCAIB0Kwfpjp8YEOfu-bneM/edit?usp=sharing"",""งานกองทุน!J17"")"),106)</f>
        <v>106</v>
      </c>
      <c r="K824" s="466">
        <f t="shared" ca="1" si="334"/>
        <v>33.757961783439491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IFERROR(__xludf.DUMMYFUNCTION("IMPORTRANGE(""https://docs.google.com/spreadsheets/d/19vJNZY_5yjcGF2XGBMNZRCAIB0Kwfpjp8YEOfu-bneM/edit?usp=sharing"",""งานกองทุน!N17"")"),0)</f>
        <v>0</v>
      </c>
      <c r="J825" s="270">
        <f ca="1">IFERROR(__xludf.DUMMYFUNCTION("IMPORTRANGE(""https://docs.google.com/spreadsheets/d/19vJNZY_5yjcGF2XGBMNZRCAIB0Kwfpjp8YEOfu-bneM/edit?usp=sharing"",""งานกองทุน!P17"")"),0)</f>
        <v>0</v>
      </c>
      <c r="K825" s="466">
        <f t="shared" ca="1" si="334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IFERROR(__xludf.DUMMYFUNCTION("IMPORTRANGE(""https://docs.google.com/spreadsheets/d/19vJNZY_5yjcGF2XGBMNZRCAIB0Kwfpjp8YEOfu-bneM/edit?usp=sharing"",""งานกองทุน!M17"")"),0)</f>
        <v>0</v>
      </c>
      <c r="J826" s="270">
        <f ca="1">IFERROR(__xludf.DUMMYFUNCTION("IMPORTRANGE(""https://docs.google.com/spreadsheets/d/19vJNZY_5yjcGF2XGBMNZRCAIB0Kwfpjp8YEOfu-bneM/edit?usp=sharing"",""งานกองทุน!O17"")"),0)</f>
        <v>0</v>
      </c>
      <c r="K826" s="466">
        <f t="shared" ca="1" si="334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IFERROR(__xludf.DUMMYFUNCTION("IMPORTRANGE(""https://docs.google.com/spreadsheets/d/19vJNZY_5yjcGF2XGBMNZRCAIB0Kwfpjp8YEOfu-bneM/edit?usp=sharing"",""งานกองทุน!S17"")"),2900000)</f>
        <v>2900000</v>
      </c>
      <c r="J827" s="270">
        <f ca="1">IFERROR(__xludf.DUMMYFUNCTION("IMPORTRANGE(""https://docs.google.com/spreadsheets/d/19vJNZY_5yjcGF2XGBMNZRCAIB0Kwfpjp8YEOfu-bneM/edit?usp=sharing"",""งานกองทุน!U17"")"),0)</f>
        <v>0</v>
      </c>
      <c r="K827" s="466">
        <f t="shared" ca="1" si="334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IFERROR(__xludf.DUMMYFUNCTION("IMPORTRANGE(""https://docs.google.com/spreadsheets/d/19vJNZY_5yjcGF2XGBMNZRCAIB0Kwfpjp8YEOfu-bneM/edit?usp=sharing"",""งานกองทุน!R17"")"),116)</f>
        <v>116</v>
      </c>
      <c r="J828" s="469">
        <f ca="1">IFERROR(__xludf.DUMMYFUNCTION("IMPORTRANGE(""https://docs.google.com/spreadsheets/d/19vJNZY_5yjcGF2XGBMNZRCAIB0Kwfpjp8YEOfu-bneM/edit?usp=sharing"",""งานกองทุน!T17"")"),0)</f>
        <v>0</v>
      </c>
      <c r="K828" s="470">
        <f t="shared" ca="1" si="334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81ADC-40EF-4EB6-B215-C7B152C60F6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8.7109375" style="801" bestFit="1" customWidth="1"/>
    <col min="10" max="10" width="16.8554687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337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7783045</v>
      </c>
      <c r="M8" s="22">
        <f t="shared" ca="1" si="0"/>
        <v>2374223</v>
      </c>
      <c r="N8" s="22">
        <f t="shared" ca="1" si="0"/>
        <v>1557374.37</v>
      </c>
      <c r="O8" s="22">
        <f t="shared" ref="O8:O16" ca="1" si="1">IF(L8&gt;0,N8*100/L8,0)</f>
        <v>20.009833811830717</v>
      </c>
      <c r="P8" s="22">
        <f t="shared" ref="P8:P16" ca="1" si="2">IF(M8&gt;0,N8*100/M8,0)</f>
        <v>65.595117644804219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7783045</v>
      </c>
      <c r="M10" s="30">
        <f t="shared" ca="1" si="3"/>
        <v>2374223</v>
      </c>
      <c r="N10" s="30">
        <f t="shared" ca="1" si="3"/>
        <v>1557374.37</v>
      </c>
      <c r="O10" s="30">
        <f t="shared" ca="1" si="1"/>
        <v>20.009833811830717</v>
      </c>
      <c r="P10" s="30">
        <f t="shared" ca="1" si="2"/>
        <v>65.595117644804219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7509045</v>
      </c>
      <c r="M11" s="466">
        <f t="shared" ca="1" si="4"/>
        <v>2114023</v>
      </c>
      <c r="N11" s="466">
        <f t="shared" ca="1" si="4"/>
        <v>1297174.3700000001</v>
      </c>
      <c r="O11" s="466">
        <f t="shared" ca="1" si="1"/>
        <v>17.274824827924192</v>
      </c>
      <c r="P11" s="466">
        <f t="shared" ca="1" si="2"/>
        <v>61.360466276856975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7509045</v>
      </c>
      <c r="M13" s="93">
        <f t="shared" ca="1" si="5"/>
        <v>2114023</v>
      </c>
      <c r="N13" s="93">
        <f t="shared" ca="1" si="5"/>
        <v>1297174.3700000001</v>
      </c>
      <c r="O13" s="93">
        <f t="shared" ca="1" si="1"/>
        <v>17.274824827924192</v>
      </c>
      <c r="P13" s="93">
        <f t="shared" ca="1" si="2"/>
        <v>61.360466276856975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274000</v>
      </c>
      <c r="M14" s="466">
        <f t="shared" ca="1" si="6"/>
        <v>260200</v>
      </c>
      <c r="N14" s="466">
        <f t="shared" ca="1" si="6"/>
        <v>260200</v>
      </c>
      <c r="O14" s="466">
        <f t="shared" ca="1" si="1"/>
        <v>94.96350364963503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274000</v>
      </c>
      <c r="M16" s="52">
        <f t="shared" ca="1" si="7"/>
        <v>260200</v>
      </c>
      <c r="N16" s="52">
        <f t="shared" ca="1" si="7"/>
        <v>260200</v>
      </c>
      <c r="O16" s="52">
        <f t="shared" ca="1" si="1"/>
        <v>94.96350364963503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4469706</v>
      </c>
      <c r="M18" s="22">
        <f t="shared" ca="1" si="8"/>
        <v>2374223</v>
      </c>
      <c r="N18" s="22">
        <f t="shared" ca="1" si="8"/>
        <v>1336396.6700000002</v>
      </c>
      <c r="O18" s="22">
        <f t="shared" ref="O18:O26" ca="1" si="9">IF(L18&gt;0,N18*100/L18,0)</f>
        <v>29.898983736290489</v>
      </c>
      <c r="P18" s="22">
        <f t="shared" ref="P18:P26" ca="1" si="10">IF(M18&gt;0,N18*100/M18,0)</f>
        <v>56.287748454968224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4469706</v>
      </c>
      <c r="M20" s="30">
        <f t="shared" ca="1" si="11"/>
        <v>2374223</v>
      </c>
      <c r="N20" s="30">
        <f t="shared" ca="1" si="11"/>
        <v>1336396.6700000002</v>
      </c>
      <c r="O20" s="30">
        <f t="shared" ca="1" si="9"/>
        <v>29.898983736290489</v>
      </c>
      <c r="P20" s="30">
        <f t="shared" ca="1" si="10"/>
        <v>56.287748454968224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4195706</v>
      </c>
      <c r="M21" s="466">
        <f t="shared" ca="1" si="12"/>
        <v>2114023</v>
      </c>
      <c r="N21" s="466">
        <f t="shared" ca="1" si="12"/>
        <v>1076196.6700000002</v>
      </c>
      <c r="O21" s="466">
        <f t="shared" ca="1" si="9"/>
        <v>25.649954262762932</v>
      </c>
      <c r="P21" s="466">
        <f t="shared" ca="1" si="10"/>
        <v>50.907519454613322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4195706</v>
      </c>
      <c r="M23" s="93">
        <f t="shared" ca="1" si="13"/>
        <v>2114023</v>
      </c>
      <c r="N23" s="93">
        <f t="shared" ca="1" si="13"/>
        <v>1076196.6700000002</v>
      </c>
      <c r="O23" s="93">
        <f t="shared" ca="1" si="9"/>
        <v>25.649954262762932</v>
      </c>
      <c r="P23" s="93">
        <f t="shared" ca="1" si="10"/>
        <v>50.907519454613322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274000</v>
      </c>
      <c r="M24" s="466">
        <f t="shared" ca="1" si="14"/>
        <v>260200</v>
      </c>
      <c r="N24" s="466">
        <f t="shared" ca="1" si="14"/>
        <v>260200</v>
      </c>
      <c r="O24" s="466">
        <f t="shared" ca="1" si="9"/>
        <v>94.96350364963503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274000</v>
      </c>
      <c r="M26" s="52">
        <f t="shared" ca="1" si="15"/>
        <v>260200</v>
      </c>
      <c r="N26" s="52">
        <f t="shared" ca="1" si="15"/>
        <v>260200</v>
      </c>
      <c r="O26" s="52">
        <f t="shared" ca="1" si="9"/>
        <v>94.96350364963503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3313339</v>
      </c>
      <c r="M28" s="22">
        <f t="shared" si="16"/>
        <v>0</v>
      </c>
      <c r="N28" s="22">
        <f t="shared" si="16"/>
        <v>220977.7</v>
      </c>
      <c r="O28" s="22">
        <f t="shared" ref="O28:O37" ca="1" si="17">IF(L28&gt;0,N28*100/L28,0)</f>
        <v>6.6693356761864697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3313339</v>
      </c>
      <c r="M30" s="30">
        <f t="shared" si="19"/>
        <v>0</v>
      </c>
      <c r="N30" s="30">
        <f t="shared" si="19"/>
        <v>220977.7</v>
      </c>
      <c r="O30" s="30">
        <f t="shared" ca="1" si="17"/>
        <v>6.6693356761864697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3313339</v>
      </c>
      <c r="M31" s="466">
        <f t="shared" si="20"/>
        <v>0</v>
      </c>
      <c r="N31" s="466">
        <f t="shared" si="20"/>
        <v>220977.7</v>
      </c>
      <c r="O31" s="466">
        <f t="shared" ca="1" si="17"/>
        <v>6.6693356761864697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3313339</v>
      </c>
      <c r="M33" s="93">
        <f t="shared" si="21"/>
        <v>0</v>
      </c>
      <c r="N33" s="93">
        <f t="shared" si="21"/>
        <v>220977.7</v>
      </c>
      <c r="O33" s="93">
        <f t="shared" ca="1" si="17"/>
        <v>6.6693356761864697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4469706</v>
      </c>
      <c r="M37" s="832">
        <f t="shared" ca="1" si="24"/>
        <v>2374223</v>
      </c>
      <c r="N37" s="832">
        <f t="shared" ca="1" si="24"/>
        <v>1336396.6700000002</v>
      </c>
      <c r="O37" s="832">
        <f t="shared" ca="1" si="17"/>
        <v>29.898983736290489</v>
      </c>
      <c r="P37" s="832">
        <f t="shared" ca="1" si="18"/>
        <v>56.287748454968224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563696</v>
      </c>
      <c r="M41" s="85">
        <f t="shared" ca="1" si="25"/>
        <v>296138</v>
      </c>
      <c r="N41" s="85">
        <f t="shared" ca="1" si="25"/>
        <v>219244</v>
      </c>
      <c r="O41" s="85">
        <f t="shared" ref="O41:O49" ca="1" si="26">IF(L41&gt;0,N41*100/L41,0)</f>
        <v>38.894013794669469</v>
      </c>
      <c r="P41" s="85">
        <f t="shared" ref="P41:P49" ca="1" si="27">IF(M41&gt;0,N41*100/M41,0)</f>
        <v>74.034402879738494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563696</v>
      </c>
      <c r="M43" s="92">
        <f t="shared" ca="1" si="28"/>
        <v>296138</v>
      </c>
      <c r="N43" s="92">
        <f t="shared" ca="1" si="28"/>
        <v>219244</v>
      </c>
      <c r="O43" s="92">
        <f t="shared" ca="1" si="26"/>
        <v>38.894013794669469</v>
      </c>
      <c r="P43" s="92">
        <f t="shared" ca="1" si="27"/>
        <v>74.034402879738494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563696</v>
      </c>
      <c r="M44" s="466">
        <f t="shared" ca="1" si="29"/>
        <v>296138</v>
      </c>
      <c r="N44" s="466">
        <f t="shared" ca="1" si="29"/>
        <v>219244</v>
      </c>
      <c r="O44" s="466">
        <f t="shared" ca="1" si="26"/>
        <v>38.894013794669469</v>
      </c>
      <c r="P44" s="466">
        <f t="shared" ca="1" si="27"/>
        <v>74.034402879738494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IFERROR(__xludf.DUMMYFUNCTION("IMPORTRANGE(""https://docs.google.com/spreadsheets/d/1MeEWN-I1oV_STSDYn1IFDPWt_1FKiwhDph83XaGc0o0/edit?usp=sharing"",""งบพรบ!M18"")"),563696)</f>
        <v>563696</v>
      </c>
      <c r="M46" s="93">
        <f ca="1">IFERROR(__xludf.DUMMYFUNCTION("IMPORTRANGE(""https://docs.google.com/spreadsheets/d/1MeEWN-I1oV_STSDYn1IFDPWt_1FKiwhDph83XaGc0o0/edit?usp=sharing"",""งบพรบ!R18"")"),296138)</f>
        <v>296138</v>
      </c>
      <c r="N46" s="93">
        <f ca="1">IFERROR(__xludf.DUMMYFUNCTION("IMPORTRANGE(""https://docs.google.com/spreadsheets/d/1MeEWN-I1oV_STSDYn1IFDPWt_1FKiwhDph83XaGc0o0/edit?usp=sharing"",""งบพรบ!T18"")"),219244)</f>
        <v>219244</v>
      </c>
      <c r="O46" s="93">
        <f t="shared" ca="1" si="26"/>
        <v>38.894013794669469</v>
      </c>
      <c r="P46" s="93">
        <f t="shared" ca="1" si="27"/>
        <v>74.034402879738494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IFERROR(__xludf.DUMMYFUNCTION("IMPORTRANGE(""https://docs.google.com/spreadsheets/d/1MeEWN-I1oV_STSDYn1IFDPWt_1FKiwhDph83XaGc0o0/edit?usp=sharing"",""งบพรบ!P18"")"),0)</f>
        <v>0</v>
      </c>
      <c r="M49" s="52">
        <f ca="1">IFERROR(__xludf.DUMMYFUNCTION("IMPORTRANGE(""https://docs.google.com/spreadsheets/d/1MeEWN-I1oV_STSDYn1IFDPWt_1FKiwhDph83XaGc0o0/edit?usp=sharing"",""งบพรบ!S18"")"),0)</f>
        <v>0</v>
      </c>
      <c r="N49" s="52">
        <f ca="1">IFERROR(__xludf.DUMMYFUNCTION("IMPORTRANGE(""https://docs.google.com/spreadsheets/d/1MeEWN-I1oV_STSDYn1IFDPWt_1FKiwhDph83XaGc0o0/edit?usp=sharing"",""งบพรบ!U18"")"),0)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952700</v>
      </c>
      <c r="M53" s="116">
        <f t="shared" ca="1" si="31"/>
        <v>476350</v>
      </c>
      <c r="N53" s="116">
        <f t="shared" ca="1" si="31"/>
        <v>333431.33</v>
      </c>
      <c r="O53" s="116">
        <f t="shared" ref="O53:O61" ca="1" si="32">IF(L53&gt;0,N53*100/L53,0)</f>
        <v>34.998565130681222</v>
      </c>
      <c r="P53" s="116">
        <f t="shared" ref="P53:P61" ca="1" si="33">IF(M53&gt;0,N53*100/M53,0)</f>
        <v>69.997130261362443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952700</v>
      </c>
      <c r="M55" s="123">
        <f t="shared" ca="1" si="34"/>
        <v>476350</v>
      </c>
      <c r="N55" s="123">
        <f t="shared" ca="1" si="34"/>
        <v>333431.33</v>
      </c>
      <c r="O55" s="123">
        <f t="shared" ca="1" si="32"/>
        <v>34.998565130681222</v>
      </c>
      <c r="P55" s="123">
        <f t="shared" ca="1" si="33"/>
        <v>69.997130261362443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952700</v>
      </c>
      <c r="M56" s="466">
        <f t="shared" ca="1" si="35"/>
        <v>476350</v>
      </c>
      <c r="N56" s="466">
        <f t="shared" ca="1" si="35"/>
        <v>333431.33</v>
      </c>
      <c r="O56" s="466">
        <f t="shared" ca="1" si="32"/>
        <v>34.998565130681222</v>
      </c>
      <c r="P56" s="466">
        <f t="shared" ca="1" si="33"/>
        <v>69.997130261362443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IFERROR(__xludf.DUMMYFUNCTION("IMPORTRANGE(""https://docs.google.com/spreadsheets/d/1MeEWN-I1oV_STSDYn1IFDPWt_1FKiwhDph83XaGc0o0/edit?usp=sharing"",""งบพรบ!W18"")"),952700)</f>
        <v>952700</v>
      </c>
      <c r="M58" s="93">
        <f ca="1">IFERROR(__xludf.DUMMYFUNCTION("IMPORTRANGE(""https://docs.google.com/spreadsheets/d/1MeEWN-I1oV_STSDYn1IFDPWt_1FKiwhDph83XaGc0o0/edit?usp=sharing"",""งบพรบ!AB18"")"),476350)</f>
        <v>476350</v>
      </c>
      <c r="N58" s="93">
        <f ca="1">IFERROR(__xludf.DUMMYFUNCTION("IMPORTRANGE(""https://docs.google.com/spreadsheets/d/1MeEWN-I1oV_STSDYn1IFDPWt_1FKiwhDph83XaGc0o0/edit?usp=sharing"",""งบพรบ!AD18"")"),333431.33)</f>
        <v>333431.33</v>
      </c>
      <c r="O58" s="93">
        <f t="shared" ca="1" si="32"/>
        <v>34.998565130681222</v>
      </c>
      <c r="P58" s="93">
        <f t="shared" ca="1" si="33"/>
        <v>69.997130261362443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IFERROR(__xludf.DUMMYFUNCTION("IMPORTRANGE(""https://docs.google.com/spreadsheets/d/1MeEWN-I1oV_STSDYn1IFDPWt_1FKiwhDph83XaGc0o0/edit?usp=sharing"",""งบพรบ!Z18"")"),0)</f>
        <v>0</v>
      </c>
      <c r="M61" s="52">
        <f ca="1">IFERROR(__xludf.DUMMYFUNCTION("IMPORTRANGE(""https://docs.google.com/spreadsheets/d/1MeEWN-I1oV_STSDYn1IFDPWt_1FKiwhDph83XaGc0o0/edit?usp=sharing"",""งบพรบ!AC18"")"),0)</f>
        <v>0</v>
      </c>
      <c r="N61" s="52">
        <f ca="1">IFERROR(__xludf.DUMMYFUNCTION("IMPORTRANGE(""https://docs.google.com/spreadsheets/d/1MeEWN-I1oV_STSDYn1IFDPWt_1FKiwhDph83XaGc0o0/edit?usp=sharing"",""งบพรบ!AE18"")"),0)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1039000</v>
      </c>
      <c r="M66" s="155">
        <f t="shared" ca="1" si="39"/>
        <v>506000</v>
      </c>
      <c r="N66" s="155">
        <f t="shared" ca="1" si="39"/>
        <v>168004.04</v>
      </c>
      <c r="O66" s="155">
        <f t="shared" ref="O66:O74" ca="1" si="40">IF(L66&gt;0,N66*100/L66,0)</f>
        <v>16.169782483156883</v>
      </c>
      <c r="P66" s="155">
        <f t="shared" ref="P66:P74" ca="1" si="41">IF(M66&gt;0,N66*100/M66,0)</f>
        <v>33.202379446640315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1039000</v>
      </c>
      <c r="M68" s="93">
        <f t="shared" ca="1" si="42"/>
        <v>506000</v>
      </c>
      <c r="N68" s="93">
        <f t="shared" ca="1" si="42"/>
        <v>168004.04</v>
      </c>
      <c r="O68" s="93">
        <f t="shared" ca="1" si="40"/>
        <v>16.169782483156883</v>
      </c>
      <c r="P68" s="93">
        <f t="shared" ca="1" si="41"/>
        <v>33.202379446640315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1039000</v>
      </c>
      <c r="M69" s="466">
        <f t="shared" ca="1" si="43"/>
        <v>506000</v>
      </c>
      <c r="N69" s="466">
        <f t="shared" ca="1" si="43"/>
        <v>168004.04</v>
      </c>
      <c r="O69" s="466">
        <f t="shared" ca="1" si="40"/>
        <v>16.169782483156883</v>
      </c>
      <c r="P69" s="466">
        <f t="shared" ca="1" si="41"/>
        <v>33.202379446640315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IFERROR(__xludf.DUMMYFUNCTION("IMPORTRANGE(""https://docs.google.com/spreadsheets/d/1MeEWN-I1oV_STSDYn1IFDPWt_1FKiwhDph83XaGc0o0/edit?usp=sharing"",""งบพรบ!AG18"")"),1039000)</f>
        <v>1039000</v>
      </c>
      <c r="M71" s="93">
        <f ca="1">IFERROR(__xludf.DUMMYFUNCTION("IMPORTRANGE(""https://docs.google.com/spreadsheets/d/1MeEWN-I1oV_STSDYn1IFDPWt_1FKiwhDph83XaGc0o0/edit?usp=sharing"",""งบพรบ!AL18"")"),506000)</f>
        <v>506000</v>
      </c>
      <c r="N71" s="93">
        <f ca="1">IFERROR(__xludf.DUMMYFUNCTION("IMPORTRANGE(""https://docs.google.com/spreadsheets/d/1MeEWN-I1oV_STSDYn1IFDPWt_1FKiwhDph83XaGc0o0/edit?usp=sharing"",""งบพรบ!AN18"")"),168004.04)</f>
        <v>168004.04</v>
      </c>
      <c r="O71" s="93">
        <f t="shared" ca="1" si="40"/>
        <v>16.169782483156883</v>
      </c>
      <c r="P71" s="93">
        <f t="shared" ca="1" si="41"/>
        <v>33.202379446640315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IFERROR(__xludf.DUMMYFUNCTION("IMPORTRANGE(""https://docs.google.com/spreadsheets/d/1MeEWN-I1oV_STSDYn1IFDPWt_1FKiwhDph83XaGc0o0/edit?usp=sharing"",""งบพรบ!AJ18"")"),0)</f>
        <v>0</v>
      </c>
      <c r="M74" s="93">
        <f ca="1">IFERROR(__xludf.DUMMYFUNCTION("IMPORTRANGE(""https://docs.google.com/spreadsheets/d/1MeEWN-I1oV_STSDYn1IFDPWt_1FKiwhDph83XaGc0o0/edit?usp=sharing"",""งบพรบ!AM18"")"),0)</f>
        <v>0</v>
      </c>
      <c r="N74" s="93">
        <f ca="1">IFERROR(__xludf.DUMMYFUNCTION("IMPORTRANGE(""https://docs.google.com/spreadsheets/d/1MeEWN-I1oV_STSDYn1IFDPWt_1FKiwhDph83XaGc0o0/edit?usp=sharing"",""งบพรบ!AO18"")"),0)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IFERROR(__xludf.DUMMYFUNCTION("IMPORTRANGE(""https://docs.google.com/spreadsheets/d/1QqKyyYR6Q21VydFLVH3TRQUabQu_ym0Zz7PgGX0-kHA/edit?usp=sharing"",""แผน!D18"")"),1)</f>
        <v>1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IFERROR(__xludf.DUMMYFUNCTION("IMPORTRANGE(""https://docs.google.com/spreadsheets/d/1QqKyyYR6Q21VydFLVH3TRQUabQu_ym0Zz7PgGX0-kHA/edit?usp=sharing"",""แผน!E18"")"),40)</f>
        <v>40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IFERROR(__xludf.DUMMYFUNCTION("IMPORTRANGE(""https://docs.google.com/spreadsheets/d/1QqKyyYR6Q21VydFLVH3TRQUabQu_ym0Zz7PgGX0-kHA/edit?usp=sharing"",""แผน!J18"")"),1)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23840</v>
      </c>
      <c r="N88" s="155">
        <f t="shared" ca="1" si="49"/>
        <v>19579</v>
      </c>
      <c r="O88" s="155">
        <f t="shared" ref="O88:O96" ca="1" si="50">IF(L88&gt;0,N88*100/L88,0)</f>
        <v>22.755695025569501</v>
      </c>
      <c r="P88" s="155">
        <f t="shared" ref="P88:P96" ca="1" si="51">IF(M88&gt;0,N88*100/M88,0)</f>
        <v>82.12667785234899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23840</v>
      </c>
      <c r="N90" s="93">
        <f t="shared" ca="1" si="52"/>
        <v>19579</v>
      </c>
      <c r="O90" s="93">
        <f t="shared" ca="1" si="50"/>
        <v>22.755695025569501</v>
      </c>
      <c r="P90" s="93">
        <f t="shared" ca="1" si="51"/>
        <v>82.12667785234899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23840</v>
      </c>
      <c r="N91" s="466">
        <f t="shared" ca="1" si="53"/>
        <v>19579</v>
      </c>
      <c r="O91" s="466">
        <f t="shared" ca="1" si="50"/>
        <v>22.755695025569501</v>
      </c>
      <c r="P91" s="466">
        <f t="shared" ca="1" si="51"/>
        <v>82.12667785234899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IFERROR(__xludf.DUMMYFUNCTION("IMPORTRANGE(""https://docs.google.com/spreadsheets/d/1MeEWN-I1oV_STSDYn1IFDPWt_1FKiwhDph83XaGc0o0/edit?usp=sharing"",""งบพรบ!AQ18"")"),86040)</f>
        <v>86040</v>
      </c>
      <c r="M93" s="93">
        <f ca="1">IFERROR(__xludf.DUMMYFUNCTION("IMPORTRANGE(""https://docs.google.com/spreadsheets/d/1MeEWN-I1oV_STSDYn1IFDPWt_1FKiwhDph83XaGc0o0/edit?usp=sharing"",""งบพรบ!AV18"")"),23840)</f>
        <v>23840</v>
      </c>
      <c r="N93" s="93">
        <f ca="1">IFERROR(__xludf.DUMMYFUNCTION("IMPORTRANGE(""https://docs.google.com/spreadsheets/d/1MeEWN-I1oV_STSDYn1IFDPWt_1FKiwhDph83XaGc0o0/edit?usp=sharing"",""งบพรบ!AX18"")"),19579)</f>
        <v>19579</v>
      </c>
      <c r="O93" s="93">
        <f t="shared" ca="1" si="50"/>
        <v>22.755695025569501</v>
      </c>
      <c r="P93" s="93">
        <f t="shared" ca="1" si="51"/>
        <v>82.12667785234899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IFERROR(__xludf.DUMMYFUNCTION("IMPORTRANGE(""https://docs.google.com/spreadsheets/d/1MeEWN-I1oV_STSDYn1IFDPWt_1FKiwhDph83XaGc0o0/edit?usp=sharing"",""งบพรบ!AT18"")"),0)</f>
        <v>0</v>
      </c>
      <c r="M96" s="93">
        <f ca="1">IFERROR(__xludf.DUMMYFUNCTION("IMPORTRANGE(""https://docs.google.com/spreadsheets/d/1MeEWN-I1oV_STSDYn1IFDPWt_1FKiwhDph83XaGc0o0/edit?usp=sharing"",""งบพรบ!AW18"")"),0)</f>
        <v>0</v>
      </c>
      <c r="N96" s="93">
        <f ca="1">IFERROR(__xludf.DUMMYFUNCTION("IMPORTRANGE(""https://docs.google.com/spreadsheets/d/1MeEWN-I1oV_STSDYn1IFDPWt_1FKiwhDph83XaGc0o0/edit?usp=sharing"",""งบพรบ!AY18"")"),0)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IFERROR(__xludf.DUMMYFUNCTION("IMPORTRANGE(""https://docs.google.com/spreadsheets/d/1QqKyyYR6Q21VydFLVH3TRQUabQu_ym0Zz7PgGX0-kHA/edit?usp=sharing"",""แผน!K18"")"),30)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IFERROR(__xludf.DUMMYFUNCTION("IMPORTRANGE(""https://docs.google.com/spreadsheets/d/1QqKyyYR6Q21VydFLVH3TRQUabQu_ym0Zz7PgGX0-kHA/edit?usp=sharing"",""แผน!L18"")"),10)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IFERROR(__xludf.DUMMYFUNCTION("IMPORTRANGE(""https://docs.google.com/spreadsheets/d/1QqKyyYR6Q21VydFLVH3TRQUabQu_ym0Zz7PgGX0-kHA/edit?usp=sharing"",""แผน!M18"")"),2)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IFERROR(__xludf.DUMMYFUNCTION("IMPORTRANGE(""https://docs.google.com/spreadsheets/d/1QqKyyYR6Q21VydFLVH3TRQUabQu_ym0Zz7PgGX0-kHA/edit?usp=sharing"",""แผน!N18"")"),30)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IFERROR(__xludf.DUMMYFUNCTION("IMPORTRANGE(""https://docs.google.com/spreadsheets/d/1QqKyyYR6Q21VydFLVH3TRQUabQu_ym0Zz7PgGX0-kHA/edit?usp=sharing"",""แผน!O18"")"),10)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IFERROR(__xludf.DUMMYFUNCTION("IMPORTRANGE(""https://docs.google.com/spreadsheets/d/1QqKyyYR6Q21VydFLVH3TRQUabQu_ym0Zz7PgGX0-kHA/edit?usp=sharing"",""แผน!O18"")"),10)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IFERROR(__xludf.DUMMYFUNCTION("IMPORTRANGE(""https://docs.google.com/spreadsheets/d/1QqKyyYR6Q21VydFLVH3TRQUabQu_ym0Zz7PgGX0-kHA/edit?usp=sharing"",""แผน!P18"")"),1)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IFERROR(__xludf.DUMMYFUNCTION("IMPORTRANGE(""https://docs.google.com/spreadsheets/d/1QqKyyYR6Q21VydFLVH3TRQUabQu_ym0Zz7PgGX0-kHA/edit?usp=sharing"",""แผน!P18"")"),1)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IFERROR(__xludf.DUMMYFUNCTION("IMPORTRANGE(""https://docs.google.com/spreadsheets/d/1QqKyyYR6Q21VydFLVH3TRQUabQu_ym0Zz7PgGX0-kHA/edit?usp=sharing"",""แผน!Q18"")"),1)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IFERROR(__xludf.DUMMYFUNCTION("IMPORTRANGE(""https://docs.google.com/spreadsheets/d/1QqKyyYR6Q21VydFLVH3TRQUabQu_ym0Zz7PgGX0-kHA/edit?usp=sharing"",""แผน!Q18"")"),1)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IFERROR(__xludf.DUMMYFUNCTION("IMPORTRANGE(""https://docs.google.com/spreadsheets/d/1QqKyyYR6Q21VydFLVH3TRQUabQu_ym0Zz7PgGX0-kHA/edit?usp=sharing"",""แผน!R18"")"),10)</f>
        <v>10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IFERROR(__xludf.DUMMYFUNCTION("IMPORTRANGE(""https://docs.google.com/spreadsheets/d/1QqKyyYR6Q21VydFLVH3TRQUabQu_ym0Zz7PgGX0-kHA/edit?usp=sharing"",""แผน!R18"")"),10)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IFERROR(__xludf.DUMMYFUNCTION("IMPORTRANGE(""https://docs.google.com/spreadsheets/d/1QqKyyYR6Q21VydFLVH3TRQUabQu_ym0Zz7PgGX0-kHA/edit?usp=sharing"",""แผน!R18"")"),10)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IFERROR(__xludf.DUMMYFUNCTION("IMPORTRANGE(""https://docs.google.com/spreadsheets/d/1MeEWN-I1oV_STSDYn1IFDPWt_1FKiwhDph83XaGc0o0/edit?usp=sharing"",""งบพรบ!BA18"")"),0)</f>
        <v>0</v>
      </c>
      <c r="M124" s="93">
        <f ca="1">IFERROR(__xludf.DUMMYFUNCTION("IMPORTRANGE(""https://docs.google.com/spreadsheets/d/1MeEWN-I1oV_STSDYn1IFDPWt_1FKiwhDph83XaGc0o0/edit?usp=sharing"",""งบพรบ!BF18"")"),0)</f>
        <v>0</v>
      </c>
      <c r="N124" s="93">
        <f ca="1">IFERROR(__xludf.DUMMYFUNCTION("IMPORTRANGE(""https://docs.google.com/spreadsheets/d/1MeEWN-I1oV_STSDYn1IFDPWt_1FKiwhDph83XaGc0o0/edit?usp=sharing"",""งบพรบ!BH18"")"),0)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IFERROR(__xludf.DUMMYFUNCTION("IMPORTRANGE(""https://docs.google.com/spreadsheets/d/1MeEWN-I1oV_STSDYn1IFDPWt_1FKiwhDph83XaGc0o0/edit?usp=sharing"",""งบพรบ!BD18"")"),0)</f>
        <v>0</v>
      </c>
      <c r="M127" s="93">
        <f ca="1">IFERROR(__xludf.DUMMYFUNCTION("IMPORTRANGE(""https://docs.google.com/spreadsheets/d/1MeEWN-I1oV_STSDYn1IFDPWt_1FKiwhDph83XaGc0o0/edit?usp=sharing"",""งบพรบ!BG18"")"),0)</f>
        <v>0</v>
      </c>
      <c r="N127" s="93">
        <f ca="1">IFERROR(__xludf.DUMMYFUNCTION("IMPORTRANGE(""https://docs.google.com/spreadsheets/d/1MeEWN-I1oV_STSDYn1IFDPWt_1FKiwhDph83XaGc0o0/edit?usp=sharing"",""งบพรบ!BI18"")"),0)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177400</v>
      </c>
      <c r="N132" s="155">
        <f t="shared" ca="1" si="69"/>
        <v>122710</v>
      </c>
      <c r="O132" s="155">
        <f t="shared" ref="O132:O140" ca="1" si="70">IF(L132&gt;0,N132*100/L132,0)</f>
        <v>51.288374328645169</v>
      </c>
      <c r="P132" s="155">
        <f t="shared" ref="P132:P140" ca="1" si="71">IF(M132&gt;0,N132*100/M132,0)</f>
        <v>69.171364148816238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239255</v>
      </c>
      <c r="M134" s="93">
        <f t="shared" ca="1" si="72"/>
        <v>177400</v>
      </c>
      <c r="N134" s="93">
        <f t="shared" ca="1" si="72"/>
        <v>122710</v>
      </c>
      <c r="O134" s="93">
        <f t="shared" ca="1" si="70"/>
        <v>51.288374328645169</v>
      </c>
      <c r="P134" s="93">
        <f t="shared" ca="1" si="71"/>
        <v>69.171364148816238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74400</v>
      </c>
      <c r="N135" s="466">
        <f t="shared" ca="1" si="73"/>
        <v>19710</v>
      </c>
      <c r="O135" s="466">
        <f t="shared" ca="1" si="70"/>
        <v>14.465524200946755</v>
      </c>
      <c r="P135" s="466">
        <f t="shared" ca="1" si="71"/>
        <v>26.491935483870968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IFERROR(__xludf.DUMMYFUNCTION("IMPORTRANGE(""https://docs.google.com/spreadsheets/d/1MeEWN-I1oV_STSDYn1IFDPWt_1FKiwhDph83XaGc0o0/edit?usp=sharing"",""งบพรบ!BK18"")"),136255)</f>
        <v>136255</v>
      </c>
      <c r="M137" s="93">
        <f ca="1">IFERROR(__xludf.DUMMYFUNCTION("IMPORTRANGE(""https://docs.google.com/spreadsheets/d/1MeEWN-I1oV_STSDYn1IFDPWt_1FKiwhDph83XaGc0o0/edit?usp=sharing"",""งบพรบ!BP18"")"),74400)</f>
        <v>74400</v>
      </c>
      <c r="N137" s="93">
        <f ca="1">IFERROR(__xludf.DUMMYFUNCTION("IMPORTRANGE(""https://docs.google.com/spreadsheets/d/1MeEWN-I1oV_STSDYn1IFDPWt_1FKiwhDph83XaGc0o0/edit?usp=sharing"",""งบพรบ!BR18"")"),19710)</f>
        <v>19710</v>
      </c>
      <c r="O137" s="93">
        <f t="shared" ca="1" si="70"/>
        <v>14.465524200946755</v>
      </c>
      <c r="P137" s="93">
        <f t="shared" ca="1" si="71"/>
        <v>26.491935483870968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IFERROR(__xludf.DUMMYFUNCTION("IMPORTRANGE(""https://docs.google.com/spreadsheets/d/1MeEWN-I1oV_STSDYn1IFDPWt_1FKiwhDph83XaGc0o0/edit?usp=sharing"",""งบพรบ!BN18"")"),103000)</f>
        <v>103000</v>
      </c>
      <c r="M140" s="93">
        <f ca="1">IFERROR(__xludf.DUMMYFUNCTION("IMPORTRANGE(""https://docs.google.com/spreadsheets/d/1MeEWN-I1oV_STSDYn1IFDPWt_1FKiwhDph83XaGc0o0/edit?usp=sharing"",""งบพรบ!BQ18"")"),103000)</f>
        <v>103000</v>
      </c>
      <c r="N140" s="93">
        <f ca="1">IFERROR(__xludf.DUMMYFUNCTION("IMPORTRANGE(""https://docs.google.com/spreadsheets/d/1MeEWN-I1oV_STSDYn1IFDPWt_1FKiwhDph83XaGc0o0/edit?usp=sharing"",""งบพรบ!BS18"")"),103000)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IFERROR(__xludf.DUMMYFUNCTION("IMPORTRANGE(""https://docs.google.com/spreadsheets/d/1QqKyyYR6Q21VydFLVH3TRQUabQu_ym0Zz7PgGX0-kHA/edit?usp=sharing"",""แผน!U18"")"),5)</f>
        <v>5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IFERROR(__xludf.DUMMYFUNCTION("IMPORTRANGE(""https://docs.google.com/spreadsheets/d/1QqKyyYR6Q21VydFLVH3TRQUabQu_ym0Zz7PgGX0-kHA/edit?usp=sharing"",""แผน!V18"")"),10)</f>
        <v>10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IFERROR(__xludf.DUMMYFUNCTION("IMPORTRANGE(""https://docs.google.com/spreadsheets/d/1QqKyyYR6Q21VydFLVH3TRQUabQu_ym0Zz7PgGX0-kHA/edit?usp=sharing"",""แผน!W18"")"),1)</f>
        <v>1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12000</v>
      </c>
      <c r="N149" s="155">
        <f t="shared" ca="1" si="77"/>
        <v>8530</v>
      </c>
      <c r="O149" s="155">
        <f t="shared" ref="O149:O157" ca="1" si="78">IF(L149&gt;0,N149*100/L149,0)</f>
        <v>85.3</v>
      </c>
      <c r="P149" s="155">
        <f t="shared" ref="P149:P157" ca="1" si="79">IF(M149&gt;0,N149*100/M149,0)</f>
        <v>71.083333333333329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12000</v>
      </c>
      <c r="N151" s="93">
        <f t="shared" ca="1" si="80"/>
        <v>8530</v>
      </c>
      <c r="O151" s="93">
        <f t="shared" ca="1" si="78"/>
        <v>85.3</v>
      </c>
      <c r="P151" s="93">
        <f t="shared" ca="1" si="79"/>
        <v>71.083333333333329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12000</v>
      </c>
      <c r="N152" s="466">
        <f t="shared" ca="1" si="81"/>
        <v>8530</v>
      </c>
      <c r="O152" s="466">
        <f t="shared" ca="1" si="78"/>
        <v>85.3</v>
      </c>
      <c r="P152" s="466">
        <f t="shared" ca="1" si="79"/>
        <v>71.083333333333329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IFERROR(__xludf.DUMMYFUNCTION("IMPORTRANGE(""https://docs.google.com/spreadsheets/d/1MeEWN-I1oV_STSDYn1IFDPWt_1FKiwhDph83XaGc0o0/edit?usp=sharing"",""งบพรบ!BU18"")"),10000)</f>
        <v>10000</v>
      </c>
      <c r="M154" s="93">
        <f ca="1">IFERROR(__xludf.DUMMYFUNCTION("IMPORTRANGE(""https://docs.google.com/spreadsheets/d/1MeEWN-I1oV_STSDYn1IFDPWt_1FKiwhDph83XaGc0o0/edit?usp=sharing"",""งบพรบ!BZ18"")"),12000)</f>
        <v>12000</v>
      </c>
      <c r="N154" s="93">
        <f ca="1">IFERROR(__xludf.DUMMYFUNCTION("IMPORTRANGE(""https://docs.google.com/spreadsheets/d/1MeEWN-I1oV_STSDYn1IFDPWt_1FKiwhDph83XaGc0o0/edit?usp=sharing"",""งบพรบ!CB18"")"),8530)</f>
        <v>8530</v>
      </c>
      <c r="O154" s="93">
        <f t="shared" ca="1" si="78"/>
        <v>85.3</v>
      </c>
      <c r="P154" s="93">
        <f t="shared" ca="1" si="79"/>
        <v>71.083333333333329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IFERROR(__xludf.DUMMYFUNCTION("IMPORTRANGE(""https://docs.google.com/spreadsheets/d/1MeEWN-I1oV_STSDYn1IFDPWt_1FKiwhDph83XaGc0o0/edit?usp=sharing"",""งบพรบ!BX18"")"),0)</f>
        <v>0</v>
      </c>
      <c r="M157" s="93">
        <f ca="1">IFERROR(__xludf.DUMMYFUNCTION("IMPORTRANGE(""https://docs.google.com/spreadsheets/d/1MeEWN-I1oV_STSDYn1IFDPWt_1FKiwhDph83XaGc0o0/edit?usp=sharing"",""งบพรบ!CA18"")"),0)</f>
        <v>0</v>
      </c>
      <c r="N157" s="93">
        <f ca="1">IFERROR(__xludf.DUMMYFUNCTION("IMPORTRANGE(""https://docs.google.com/spreadsheets/d/1MeEWN-I1oV_STSDYn1IFDPWt_1FKiwhDph83XaGc0o0/edit?usp=sharing"",""งบพรบ!CC18"")"),0)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IFERROR(__xludf.DUMMYFUNCTION("IMPORTRANGE(""https://docs.google.com/spreadsheets/d/1QqKyyYR6Q21VydFLVH3TRQUabQu_ym0Zz7PgGX0-kHA/edit?usp=sharing"",""แผน!X18"")"),20)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22055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IFERROR(__xludf.DUMMYFUNCTION("IMPORTRANGE(""https://docs.google.com/spreadsheets/d/1MeEWN-I1oV_STSDYn1IFDPWt_1FKiwhDph83XaGc0o0/edit?usp=sharing"",""งบพรบ!CE18"")"),22055)</f>
        <v>22055</v>
      </c>
      <c r="M170" s="93">
        <f ca="1">IFERROR(__xludf.DUMMYFUNCTION("IMPORTRANGE(""https://docs.google.com/spreadsheets/d/1MeEWN-I1oV_STSDYn1IFDPWt_1FKiwhDph83XaGc0o0/edit?usp=sharing"",""งบพรบ!CJ18"")"),22055)</f>
        <v>22055</v>
      </c>
      <c r="N170" s="93">
        <f ca="1">IFERROR(__xludf.DUMMYFUNCTION("IMPORTRANGE(""https://docs.google.com/spreadsheets/d/1MeEWN-I1oV_STSDYn1IFDPWt_1FKiwhDph83XaGc0o0/edit?usp=sharing"",""งบพรบ!CL18"")"),22055)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IFERROR(__xludf.DUMMYFUNCTION("IMPORTRANGE(""https://docs.google.com/spreadsheets/d/1MeEWN-I1oV_STSDYn1IFDPWt_1FKiwhDph83XaGc0o0/edit?usp=sharing"",""งบพรบ!CH18"")"),0)</f>
        <v>0</v>
      </c>
      <c r="M173" s="93">
        <f ca="1">IFERROR(__xludf.DUMMYFUNCTION("IMPORTRANGE(""https://docs.google.com/spreadsheets/d/1MeEWN-I1oV_STSDYn1IFDPWt_1FKiwhDph83XaGc0o0/edit?usp=sharing"",""งบพรบ!CK18"")"),0)</f>
        <v>0</v>
      </c>
      <c r="N173" s="93">
        <f ca="1">IFERROR(__xludf.DUMMYFUNCTION("IMPORTRANGE(""https://docs.google.com/spreadsheets/d/1MeEWN-I1oV_STSDYn1IFDPWt_1FKiwhDph83XaGc0o0/edit?usp=sharing"",""งบพรบ!CM18"")"),0)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107000</v>
      </c>
      <c r="M181" s="155">
        <f t="shared" ca="1" si="92"/>
        <v>48000</v>
      </c>
      <c r="N181" s="155">
        <f t="shared" ca="1" si="92"/>
        <v>1180</v>
      </c>
      <c r="O181" s="155">
        <f t="shared" ref="O181:O189" ca="1" si="93">IF(L181&gt;0,N181*100/L181,0)</f>
        <v>1.1028037383177569</v>
      </c>
      <c r="P181" s="155">
        <f t="shared" ref="P181:P189" ca="1" si="94">IF(M181&gt;0,N181*100/M181,0)</f>
        <v>2.4583333333333335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107000</v>
      </c>
      <c r="M183" s="93">
        <f t="shared" ca="1" si="95"/>
        <v>48000</v>
      </c>
      <c r="N183" s="93">
        <f t="shared" ca="1" si="95"/>
        <v>1180</v>
      </c>
      <c r="O183" s="93">
        <f t="shared" ca="1" si="93"/>
        <v>1.1028037383177569</v>
      </c>
      <c r="P183" s="93">
        <f t="shared" ca="1" si="94"/>
        <v>2.4583333333333335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107000</v>
      </c>
      <c r="M184" s="466">
        <f t="shared" ca="1" si="96"/>
        <v>48000</v>
      </c>
      <c r="N184" s="466">
        <f t="shared" ca="1" si="96"/>
        <v>1180</v>
      </c>
      <c r="O184" s="466">
        <f t="shared" ca="1" si="93"/>
        <v>1.1028037383177569</v>
      </c>
      <c r="P184" s="466">
        <f t="shared" ca="1" si="94"/>
        <v>2.4583333333333335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IFERROR(__xludf.DUMMYFUNCTION("IMPORTRANGE(""https://docs.google.com/spreadsheets/d/1MeEWN-I1oV_STSDYn1IFDPWt_1FKiwhDph83XaGc0o0/edit?usp=sharing"",""งบพรบ!CO18"")"),107000)</f>
        <v>107000</v>
      </c>
      <c r="M186" s="93">
        <f ca="1">IFERROR(__xludf.DUMMYFUNCTION("IMPORTRANGE(""https://docs.google.com/spreadsheets/d/1MeEWN-I1oV_STSDYn1IFDPWt_1FKiwhDph83XaGc0o0/edit?usp=sharing"",""งบพรบ!CT18"")"),48000)</f>
        <v>48000</v>
      </c>
      <c r="N186" s="93">
        <f ca="1">IFERROR(__xludf.DUMMYFUNCTION("IMPORTRANGE(""https://docs.google.com/spreadsheets/d/1MeEWN-I1oV_STSDYn1IFDPWt_1FKiwhDph83XaGc0o0/edit?usp=sharing"",""งบพรบ!CV18"")"),1180)</f>
        <v>1180</v>
      </c>
      <c r="O186" s="93">
        <f t="shared" ca="1" si="93"/>
        <v>1.1028037383177569</v>
      </c>
      <c r="P186" s="93">
        <f t="shared" ca="1" si="94"/>
        <v>2.4583333333333335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IFERROR(__xludf.DUMMYFUNCTION("IMPORTRANGE(""https://docs.google.com/spreadsheets/d/1MeEWN-I1oV_STSDYn1IFDPWt_1FKiwhDph83XaGc0o0/edit?usp=sharing"",""งบพรบ!CR18"")"),0)</f>
        <v>0</v>
      </c>
      <c r="M189" s="93">
        <f ca="1">IFERROR(__xludf.DUMMYFUNCTION("IMPORTRANGE(""https://docs.google.com/spreadsheets/d/1MeEWN-I1oV_STSDYn1IFDPWt_1FKiwhDph83XaGc0o0/edit?usp=sharing"",""งบพรบ!CU18"")"),0)</f>
        <v>0</v>
      </c>
      <c r="N189" s="93">
        <f ca="1">IFERROR(__xludf.DUMMYFUNCTION("IMPORTRANGE(""https://docs.google.com/spreadsheets/d/1MeEWN-I1oV_STSDYn1IFDPWt_1FKiwhDph83XaGc0o0/edit?usp=sharing"",""งบพรบ!CW18"")"),0)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IFERROR(__xludf.DUMMYFUNCTION("IMPORTRANGE(""https://docs.google.com/spreadsheets/d/1QqKyyYR6Q21VydFLVH3TRQUabQu_ym0Zz7PgGX0-kHA/edit?usp=sharing"",""แผน!AC18"")"),4)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70000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IFERROR(__xludf.DUMMYFUNCTION("IMPORTRANGE(""https://docs.google.com/spreadsheets/d/1QqKyyYR6Q21VydFLVH3TRQUabQu_ym0Zz7PgGX0-kHA/edit?usp=sharing"",""แผน!AE18"")"),5000)</f>
        <v>5000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IFERROR(__xludf.DUMMYFUNCTION("IMPORTRANGE(""https://docs.google.com/spreadsheets/d/1QqKyyYR6Q21VydFLVH3TRQUabQu_ym0Zz7PgGX0-kHA/edit?usp=sharing"",""แผน!AF18"")"),40000)</f>
        <v>40000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IFERROR(__xludf.DUMMYFUNCTION("IMPORTRANGE(""https://docs.google.com/spreadsheets/d/1QqKyyYR6Q21VydFLVH3TRQUabQu_ym0Zz7PgGX0-kHA/edit?usp=sharing"",""แผน!AG18"")"),20000)</f>
        <v>20000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IFERROR(__xludf.DUMMYFUNCTION("IMPORTRANGE(""https://docs.google.com/spreadsheets/d/1QqKyyYR6Q21VydFLVH3TRQUabQu_ym0Zz7PgGX0-kHA/edit?usp=sharing"",""แผน!AH18"")"),5000)</f>
        <v>5000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IFERROR(__xludf.DUMMYFUNCTION("IMPORTRANGE(""https://docs.google.com/spreadsheets/d/1QqKyyYR6Q21VydFLVH3TRQUabQu_ym0Zz7PgGX0-kHA/edit?usp=sharing"",""แผน!AI18"")"),5)</f>
        <v>5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5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IFERROR(__xludf.DUMMYFUNCTION("IMPORTRANGE(""https://docs.google.com/spreadsheets/d/1QqKyyYR6Q21VydFLVH3TRQUabQu_ym0Zz7PgGX0-kHA/edit?usp=sharing"",""แผน!AK18"")"),0)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IFERROR(__xludf.DUMMYFUNCTION("IMPORTRANGE(""https://docs.google.com/spreadsheets/d/1QqKyyYR6Q21VydFLVH3TRQUabQu_ym0Zz7PgGX0-kHA/edit?usp=sharing"",""แผน!AL18"")"),0)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IFERROR(__xludf.DUMMYFUNCTION("IMPORTRANGE(""https://docs.google.com/spreadsheets/d/1QqKyyYR6Q21VydFLVH3TRQUabQu_ym0Zz7PgGX0-kHA/edit?usp=sharing"",""แผน!AM18"")"),0)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IFERROR(__xludf.DUMMYFUNCTION("IMPORTRANGE(""https://docs.google.com/spreadsheets/d/1QqKyyYR6Q21VydFLVH3TRQUabQu_ym0Zz7PgGX0-kHA/edit?usp=sharing"",""แผน!AN18"")"),0)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IFERROR(__xludf.DUMMYFUNCTION("IMPORTRANGE(""https://docs.google.com/spreadsheets/d/1QqKyyYR6Q21VydFLVH3TRQUabQu_ym0Zz7PgGX0-kHA/edit?usp=sharing"",""แผน!AN18"")"),0)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IFERROR(__xludf.DUMMYFUNCTION("IMPORTRANGE(""https://docs.google.com/spreadsheets/d/1QqKyyYR6Q21VydFLVH3TRQUabQu_ym0Zz7PgGX0-kHA/edit?usp=sharing"",""แผน!AP18"")"),6000)</f>
        <v>6000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IFERROR(__xludf.DUMMYFUNCTION("IMPORTRANGE(""https://docs.google.com/spreadsheets/d/1QqKyyYR6Q21VydFLVH3TRQUabQu_ym0Zz7PgGX0-kHA/edit?usp=sharing"",""แผน!AQ18"")"),25000)</f>
        <v>25000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IFERROR(__xludf.DUMMYFUNCTION("IMPORTRANGE(""https://docs.google.com/spreadsheets/d/1QqKyyYR6Q21VydFLVH3TRQUabQu_ym0Zz7PgGX0-kHA/edit?usp=sharing"",""แผน!AR18"")"),0)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IFERROR(__xludf.DUMMYFUNCTION("IMPORTRANGE(""https://docs.google.com/spreadsheets/d/1QqKyyYR6Q21VydFLVH3TRQUabQu_ym0Zz7PgGX0-kHA/edit?usp=sharing"",""แผน!AT18"")"),100000)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IFERROR(__xludf.DUMMYFUNCTION("IMPORTRANGE(""https://docs.google.com/spreadsheets/d/1QqKyyYR6Q21VydFLVH3TRQUabQu_ym0Zz7PgGX0-kHA/edit?usp=sharing"",""แผน!AT18"")"),100000)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IFERROR(__xludf.DUMMYFUNCTION("IMPORTRANGE(""https://docs.google.com/spreadsheets/d/1QqKyyYR6Q21VydFLVH3TRQUabQu_ym0Zz7PgGX0-kHA/edit?usp=sharing"",""แผน!AS18"")"),0)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IFERROR(__xludf.DUMMYFUNCTION("IMPORTRANGE(""https://docs.google.com/spreadsheets/d/1QqKyyYR6Q21VydFLVH3TRQUabQu_ym0Zz7PgGX0-kHA/edit?usp=sharing"",""แผน!BE18"")"),0)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IFERROR(__xludf.DUMMYFUNCTION("IMPORTRANGE(""https://docs.google.com/spreadsheets/d/1QqKyyYR6Q21VydFLVH3TRQUabQu_ym0Zz7PgGX0-kHA/edit?usp=sharing"",""แผน!BF18"")"),0)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19100</v>
      </c>
      <c r="O261" s="155">
        <f t="shared" ref="O261:O269" ca="1" si="117">IF(L261&gt;0,N261*100/L261,0)</f>
        <v>71.003717472118964</v>
      </c>
      <c r="P261" s="155">
        <f t="shared" ref="P261:P269" ca="1" si="118">IF(M261&gt;0,N261*100/M261,0)</f>
        <v>79.9163179916318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19100</v>
      </c>
      <c r="O263" s="93">
        <f t="shared" ca="1" si="117"/>
        <v>71.003717472118964</v>
      </c>
      <c r="P263" s="93">
        <f t="shared" ca="1" si="118"/>
        <v>79.9163179916318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19100</v>
      </c>
      <c r="O264" s="466">
        <f t="shared" ca="1" si="117"/>
        <v>71.003717472118964</v>
      </c>
      <c r="P264" s="466">
        <f t="shared" ca="1" si="118"/>
        <v>79.9163179916318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IFERROR(__xludf.DUMMYFUNCTION("IMPORTRANGE(""https://docs.google.com/spreadsheets/d/1MeEWN-I1oV_STSDYn1IFDPWt_1FKiwhDph83XaGc0o0/edit?usp=sharing"",""งบพรบ!CY18"")"),26900)</f>
        <v>26900</v>
      </c>
      <c r="M266" s="93">
        <f ca="1">IFERROR(__xludf.DUMMYFUNCTION("IMPORTRANGE(""https://docs.google.com/spreadsheets/d/1MeEWN-I1oV_STSDYn1IFDPWt_1FKiwhDph83XaGc0o0/edit?usp=sharing"",""งบพรบ!DD18"")"),23900)</f>
        <v>23900</v>
      </c>
      <c r="N266" s="93">
        <f ca="1">IFERROR(__xludf.DUMMYFUNCTION("IMPORTRANGE(""https://docs.google.com/spreadsheets/d/1MeEWN-I1oV_STSDYn1IFDPWt_1FKiwhDph83XaGc0o0/edit?usp=sharing"",""งบพรบ!DF18"")"),19100)</f>
        <v>19100</v>
      </c>
      <c r="O266" s="93">
        <f t="shared" ca="1" si="117"/>
        <v>71.003717472118964</v>
      </c>
      <c r="P266" s="93">
        <f t="shared" ca="1" si="118"/>
        <v>79.9163179916318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IFERROR(__xludf.DUMMYFUNCTION("IMPORTRANGE(""https://docs.google.com/spreadsheets/d/1MeEWN-I1oV_STSDYn1IFDPWt_1FKiwhDph83XaGc0o0/edit?usp=sharing"",""งบพรบ!DB18"")"),0)</f>
        <v>0</v>
      </c>
      <c r="M269" s="93">
        <f ca="1">IFERROR(__xludf.DUMMYFUNCTION("IMPORTRANGE(""https://docs.google.com/spreadsheets/d/1MeEWN-I1oV_STSDYn1IFDPWt_1FKiwhDph83XaGc0o0/edit?usp=sharing"",""งบพรบ!DE18"")"),0)</f>
        <v>0</v>
      </c>
      <c r="N269" s="93">
        <f ca="1">IFERROR(__xludf.DUMMYFUNCTION("IMPORTRANGE(""https://docs.google.com/spreadsheets/d/1MeEWN-I1oV_STSDYn1IFDPWt_1FKiwhDph83XaGc0o0/edit?usp=sharing"",""งบพรบ!DG18"")"),0)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335110</v>
      </c>
      <c r="M277" s="155">
        <f t="shared" ca="1" si="125"/>
        <v>162960</v>
      </c>
      <c r="N277" s="155">
        <f t="shared" ca="1" si="125"/>
        <v>42413.3</v>
      </c>
      <c r="O277" s="155">
        <f t="shared" ref="O277:O285" ca="1" si="126">IF(L277&gt;0,N277*100/L277,0)</f>
        <v>12.65653069141476</v>
      </c>
      <c r="P277" s="155">
        <f t="shared" ref="P277:P285" ca="1" si="127">IF(M277&gt;0,N277*100/M277,0)</f>
        <v>26.026816396661758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335110</v>
      </c>
      <c r="M279" s="93">
        <f t="shared" ca="1" si="128"/>
        <v>162960</v>
      </c>
      <c r="N279" s="93">
        <f t="shared" ca="1" si="128"/>
        <v>42413.3</v>
      </c>
      <c r="O279" s="93">
        <f t="shared" ca="1" si="126"/>
        <v>12.65653069141476</v>
      </c>
      <c r="P279" s="93">
        <f t="shared" ca="1" si="127"/>
        <v>26.026816396661758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335110</v>
      </c>
      <c r="M280" s="466">
        <f t="shared" ca="1" si="129"/>
        <v>162960</v>
      </c>
      <c r="N280" s="466">
        <f t="shared" ca="1" si="129"/>
        <v>42413.3</v>
      </c>
      <c r="O280" s="466">
        <f t="shared" ca="1" si="126"/>
        <v>12.65653069141476</v>
      </c>
      <c r="P280" s="466">
        <f t="shared" ca="1" si="127"/>
        <v>26.026816396661758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IFERROR(__xludf.DUMMYFUNCTION("IMPORTRANGE(""https://docs.google.com/spreadsheets/d/1MeEWN-I1oV_STSDYn1IFDPWt_1FKiwhDph83XaGc0o0/edit?usp=sharing"",""งบพรบ!DI18"")"),335110)</f>
        <v>335110</v>
      </c>
      <c r="M282" s="93">
        <f ca="1">IFERROR(__xludf.DUMMYFUNCTION("IMPORTRANGE(""https://docs.google.com/spreadsheets/d/1MeEWN-I1oV_STSDYn1IFDPWt_1FKiwhDph83XaGc0o0/edit?usp=sharing"",""งบพรบ!DN18"")"),162960)</f>
        <v>162960</v>
      </c>
      <c r="N282" s="93">
        <f ca="1">IFERROR(__xludf.DUMMYFUNCTION("IMPORTRANGE(""https://docs.google.com/spreadsheets/d/1MeEWN-I1oV_STSDYn1IFDPWt_1FKiwhDph83XaGc0o0/edit?usp=sharing"",""งบพรบ!DP18"")"),42413.3)</f>
        <v>42413.3</v>
      </c>
      <c r="O282" s="93">
        <f t="shared" ca="1" si="126"/>
        <v>12.65653069141476</v>
      </c>
      <c r="P282" s="93">
        <f t="shared" ca="1" si="127"/>
        <v>26.026816396661758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IFERROR(__xludf.DUMMYFUNCTION("IMPORTRANGE(""https://docs.google.com/spreadsheets/d/1MeEWN-I1oV_STSDYn1IFDPWt_1FKiwhDph83XaGc0o0/edit?usp=sharing"",""งบพรบ!DL18"")"),0)</f>
        <v>0</v>
      </c>
      <c r="M285" s="93">
        <f ca="1">IFERROR(__xludf.DUMMYFUNCTION("IMPORTRANGE(""https://docs.google.com/spreadsheets/d/1MeEWN-I1oV_STSDYn1IFDPWt_1FKiwhDph83XaGc0o0/edit?usp=sharing"",""งบพรบ!DO18"")"),0)</f>
        <v>0</v>
      </c>
      <c r="N285" s="93">
        <f ca="1">IFERROR(__xludf.DUMMYFUNCTION("IMPORTRANGE(""https://docs.google.com/spreadsheets/d/1MeEWN-I1oV_STSDYn1IFDPWt_1FKiwhDph83XaGc0o0/edit?usp=sharing"",""งบพรบ!DQ18"")"),0)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IFERROR(__xludf.DUMMYFUNCTION("IMPORTRANGE(""https://docs.google.com/spreadsheets/d/1QqKyyYR6Q21VydFLVH3TRQUabQu_ym0Zz7PgGX0-kHA/edit?usp=sharing"",""แผน!EC18"")"),500)</f>
        <v>500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IFERROR(__xludf.DUMMYFUNCTION("IMPORTRANGE(""https://docs.google.com/spreadsheets/d/1QqKyyYR6Q21VydFLVH3TRQUabQu_ym0Zz7PgGX0-kHA/edit?usp=sharing"",""แผน!EB18"")"),50)</f>
        <v>50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IFERROR(__xludf.DUMMYFUNCTION("IMPORTRANGE(""https://docs.google.com/spreadsheets/d/1QqKyyYR6Q21VydFLVH3TRQUabQu_ym0Zz7PgGX0-kHA/edit?usp=sharing"",""แผน!EB18"")"),50)</f>
        <v>50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IFERROR(__xludf.DUMMYFUNCTION("IMPORTRANGE(""https://docs.google.com/spreadsheets/d/1QqKyyYR6Q21VydFLVH3TRQUabQu_ym0Zz7PgGX0-kHA/edit?usp=sharing"",""แผน!EB18"")"),50)</f>
        <v>50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IFERROR(__xludf.DUMMYFUNCTION("IMPORTRANGE(""https://docs.google.com/spreadsheets/d/1QqKyyYR6Q21VydFLVH3TRQUabQu_ym0Zz7PgGX0-kHA/edit?usp=sharing"",""แผน!EB18"")"),50)</f>
        <v>50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IFERROR(__xludf.DUMMYFUNCTION("IMPORTRANGE(""https://docs.google.com/spreadsheets/d/1QqKyyYR6Q21VydFLVH3TRQUabQu_ym0Zz7PgGX0-kHA/edit?usp=sharing"",""แผน!EB18"")"),50)</f>
        <v>50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60400</v>
      </c>
      <c r="N298" s="155">
        <f t="shared" ca="1" si="135"/>
        <v>57680</v>
      </c>
      <c r="O298" s="155">
        <f t="shared" ref="O298:O306" ca="1" si="136">IF(L298&gt;0,N298*100/L298,0)</f>
        <v>57.10891089108911</v>
      </c>
      <c r="P298" s="155">
        <f t="shared" ref="P298:P306" ca="1" si="137">IF(M298&gt;0,N298*100/M298,0)</f>
        <v>95.496688741721854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101000</v>
      </c>
      <c r="M300" s="93">
        <f t="shared" ca="1" si="138"/>
        <v>60400</v>
      </c>
      <c r="N300" s="93">
        <f t="shared" ca="1" si="138"/>
        <v>57680</v>
      </c>
      <c r="O300" s="93">
        <f t="shared" ca="1" si="136"/>
        <v>57.10891089108911</v>
      </c>
      <c r="P300" s="93">
        <f t="shared" ca="1" si="137"/>
        <v>95.496688741721854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60400</v>
      </c>
      <c r="N301" s="466">
        <f t="shared" ca="1" si="139"/>
        <v>57680</v>
      </c>
      <c r="O301" s="466">
        <f t="shared" ca="1" si="136"/>
        <v>57.10891089108911</v>
      </c>
      <c r="P301" s="466">
        <f t="shared" ca="1" si="137"/>
        <v>95.496688741721854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IFERROR(__xludf.DUMMYFUNCTION("IMPORTRANGE(""https://docs.google.com/spreadsheets/d/1MeEWN-I1oV_STSDYn1IFDPWt_1FKiwhDph83XaGc0o0/edit?usp=sharing"",""งบพรบ!DS18"")"),101000)</f>
        <v>101000</v>
      </c>
      <c r="M303" s="93">
        <f ca="1">IFERROR(__xludf.DUMMYFUNCTION("IMPORTRANGE(""https://docs.google.com/spreadsheets/d/1MeEWN-I1oV_STSDYn1IFDPWt_1FKiwhDph83XaGc0o0/edit?usp=sharing"",""งบพรบ!DX18"")"),60400)</f>
        <v>60400</v>
      </c>
      <c r="N303" s="93">
        <f ca="1">IFERROR(__xludf.DUMMYFUNCTION("IMPORTRANGE(""https://docs.google.com/spreadsheets/d/1MeEWN-I1oV_STSDYn1IFDPWt_1FKiwhDph83XaGc0o0/edit?usp=sharing"",""งบพรบ!DZ18"")"),57680)</f>
        <v>57680</v>
      </c>
      <c r="O303" s="93">
        <f t="shared" ca="1" si="136"/>
        <v>57.10891089108911</v>
      </c>
      <c r="P303" s="93">
        <f t="shared" ca="1" si="137"/>
        <v>95.496688741721854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IFERROR(__xludf.DUMMYFUNCTION("IMPORTRANGE(""https://docs.google.com/spreadsheets/d/1MeEWN-I1oV_STSDYn1IFDPWt_1FKiwhDph83XaGc0o0/edit?usp=sharing"",""งบพรบ!DV18"")"),0)</f>
        <v>0</v>
      </c>
      <c r="M306" s="93">
        <f ca="1">IFERROR(__xludf.DUMMYFUNCTION("IMPORTRANGE(""https://docs.google.com/spreadsheets/d/1MeEWN-I1oV_STSDYn1IFDPWt_1FKiwhDph83XaGc0o0/edit?usp=sharing"",""งบพรบ!DY18"")"),0)</f>
        <v>0</v>
      </c>
      <c r="N306" s="93">
        <f ca="1">IFERROR(__xludf.DUMMYFUNCTION("IMPORTRANGE(""https://docs.google.com/spreadsheets/d/1MeEWN-I1oV_STSDYn1IFDPWt_1FKiwhDph83XaGc0o0/edit?usp=sharing"",""งบพรบ!EA18"")"),0)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IFERROR(__xludf.DUMMYFUNCTION("IMPORTRANGE(""https://docs.google.com/spreadsheets/d/1QqKyyYR6Q21VydFLVH3TRQUabQu_ym0Zz7PgGX0-kHA/edit?usp=sharing"",""แผน!ED18"")"),25)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IFERROR(__xludf.DUMMYFUNCTION("IMPORTRANGE(""https://docs.google.com/spreadsheets/d/1QqKyyYR6Q21VydFLVH3TRQUabQu_ym0Zz7PgGX0-kHA/edit?usp=sharing"",""แผน!ED18"")"),25)</f>
        <v>25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IFERROR(__xludf.DUMMYFUNCTION("IMPORTRANGE(""https://docs.google.com/spreadsheets/d/1QqKyyYR6Q21VydFLVH3TRQUabQu_ym0Zz7PgGX0-kHA/edit?usp=sharing"",""แผน!ED18"")"),25)</f>
        <v>25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IFERROR(__xludf.DUMMYFUNCTION("IMPORTRANGE(""https://docs.google.com/spreadsheets/d/1QqKyyYR6Q21VydFLVH3TRQUabQu_ym0Zz7PgGX0-kHA/edit?usp=sharing"",""แผน!EE18"")"),5)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IFERROR(__xludf.DUMMYFUNCTION("IMPORTRANGE(""https://docs.google.com/spreadsheets/d/1MeEWN-I1oV_STSDYn1IFDPWt_1FKiwhDph83XaGc0o0/edit?usp=sharing"",""งบพรบ!EC18"")"),0)</f>
        <v>0</v>
      </c>
      <c r="M320" s="93">
        <f ca="1">IFERROR(__xludf.DUMMYFUNCTION("IMPORTRANGE(""https://docs.google.com/spreadsheets/d/1MeEWN-I1oV_STSDYn1IFDPWt_1FKiwhDph83XaGc0o0/edit?usp=sharing"",""งบพรบ!EH18"")"),0)</f>
        <v>0</v>
      </c>
      <c r="N320" s="93">
        <f ca="1">IFERROR(__xludf.DUMMYFUNCTION("IMPORTRANGE(""https://docs.google.com/spreadsheets/d/1MeEWN-I1oV_STSDYn1IFDPWt_1FKiwhDph83XaGc0o0/edit?usp=sharing"",""งบพรบ!EJ18"")"),0)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IFERROR(__xludf.DUMMYFUNCTION("IMPORTRANGE(""https://docs.google.com/spreadsheets/d/1MeEWN-I1oV_STSDYn1IFDPWt_1FKiwhDph83XaGc0o0/edit?usp=sharing"",""งบพรบ!EF18"")"),0)</f>
        <v>0</v>
      </c>
      <c r="M323" s="93">
        <f ca="1">IFERROR(__xludf.DUMMYFUNCTION("IMPORTRANGE(""https://docs.google.com/spreadsheets/d/1MeEWN-I1oV_STSDYn1IFDPWt_1FKiwhDph83XaGc0o0/edit?usp=sharing"",""งบพรบ!EI18"")"),0)</f>
        <v>0</v>
      </c>
      <c r="N323" s="93">
        <f ca="1">IFERROR(__xludf.DUMMYFUNCTION("IMPORTRANGE(""https://docs.google.com/spreadsheets/d/1MeEWN-I1oV_STSDYn1IFDPWt_1FKiwhDph83XaGc0o0/edit?usp=sharing"",""งบพรบ!EK18"")"),0)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IFERROR(__xludf.DUMMYFUNCTION("IMPORTRANGE(""https://docs.google.com/spreadsheets/d/1QqKyyYR6Q21VydFLVH3TRQUabQu_ym0Zz7PgGX0-kHA/edit?usp=sharing"",""แผน!EG18"")"),3500)</f>
        <v>3500</v>
      </c>
      <c r="J327" s="413">
        <f ca="1">J338+J341+J342+J343</f>
        <v>1729</v>
      </c>
      <c r="K327" s="414">
        <f ca="1">IF(I327&gt;0,J327*100/I327,0)</f>
        <v>49.4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177000</v>
      </c>
      <c r="M328" s="155">
        <f t="shared" ca="1" si="149"/>
        <v>88500</v>
      </c>
      <c r="N328" s="155">
        <f t="shared" ca="1" si="149"/>
        <v>35820</v>
      </c>
      <c r="O328" s="155">
        <f t="shared" ref="O328:O336" ca="1" si="150">IF(L328&gt;0,N328*100/L328,0)</f>
        <v>20.237288135593221</v>
      </c>
      <c r="P328" s="155">
        <f t="shared" ref="P328:P336" ca="1" si="151">IF(M328&gt;0,N328*100/M328,0)</f>
        <v>40.474576271186443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177000</v>
      </c>
      <c r="M330" s="93">
        <f t="shared" ca="1" si="152"/>
        <v>88500</v>
      </c>
      <c r="N330" s="93">
        <f t="shared" ca="1" si="152"/>
        <v>35820</v>
      </c>
      <c r="O330" s="93">
        <f t="shared" ca="1" si="150"/>
        <v>20.237288135593221</v>
      </c>
      <c r="P330" s="93">
        <f t="shared" ca="1" si="151"/>
        <v>40.474576271186443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177000</v>
      </c>
      <c r="M331" s="466">
        <f t="shared" ca="1" si="153"/>
        <v>88500</v>
      </c>
      <c r="N331" s="466">
        <f t="shared" ca="1" si="153"/>
        <v>35820</v>
      </c>
      <c r="O331" s="466">
        <f t="shared" ca="1" si="150"/>
        <v>20.237288135593221</v>
      </c>
      <c r="P331" s="466">
        <f t="shared" ca="1" si="151"/>
        <v>40.474576271186443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IFERROR(__xludf.DUMMYFUNCTION("IMPORTRANGE(""https://docs.google.com/spreadsheets/d/1MeEWN-I1oV_STSDYn1IFDPWt_1FKiwhDph83XaGc0o0/edit?usp=sharing"",""งบพรบ!EM18"")"),177000)</f>
        <v>177000</v>
      </c>
      <c r="M333" s="93">
        <f ca="1">IFERROR(__xludf.DUMMYFUNCTION("IMPORTRANGE(""https://docs.google.com/spreadsheets/d/1MeEWN-I1oV_STSDYn1IFDPWt_1FKiwhDph83XaGc0o0/edit?usp=sharing"",""งบพรบ!ER18"")"),88500)</f>
        <v>88500</v>
      </c>
      <c r="N333" s="93">
        <f ca="1">IFERROR(__xludf.DUMMYFUNCTION("IMPORTRANGE(""https://docs.google.com/spreadsheets/d/1MeEWN-I1oV_STSDYn1IFDPWt_1FKiwhDph83XaGc0o0/edit?usp=sharing"",""งบพรบ!ET18"")"),35820)</f>
        <v>35820</v>
      </c>
      <c r="O333" s="93">
        <f t="shared" ca="1" si="150"/>
        <v>20.237288135593221</v>
      </c>
      <c r="P333" s="93">
        <f t="shared" ca="1" si="151"/>
        <v>40.474576271186443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IFERROR(__xludf.DUMMYFUNCTION("IMPORTRANGE(""https://docs.google.com/spreadsheets/d/1MeEWN-I1oV_STSDYn1IFDPWt_1FKiwhDph83XaGc0o0/edit?usp=sharing"",""งบพรบ!EP18"")"),0)</f>
        <v>0</v>
      </c>
      <c r="M336" s="93">
        <f ca="1">IFERROR(__xludf.DUMMYFUNCTION("IMPORTRANGE(""https://docs.google.com/spreadsheets/d/1MeEWN-I1oV_STSDYn1IFDPWt_1FKiwhDph83XaGc0o0/edit?usp=sharing"",""งบพรบ!ES18"")"),0)</f>
        <v>0</v>
      </c>
      <c r="N336" s="93">
        <f ca="1">IFERROR(__xludf.DUMMYFUNCTION("IMPORTRANGE(""https://docs.google.com/spreadsheets/d/1MeEWN-I1oV_STSDYn1IFDPWt_1FKiwhDph83XaGc0o0/edit?usp=sharing"",""งบพรบ!EU18"")"),0)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IFERROR(__xludf.DUMMYFUNCTION("IMPORTRANGE(""https://docs.google.com/spreadsheets/d/1QqKyyYR6Q21VydFLVH3TRQUabQu_ym0Zz7PgGX0-kHA/edit?usp=sharing"",""แผน!EG18"")"),3500)</f>
        <v>3500</v>
      </c>
      <c r="J338" s="270">
        <f ca="1">IFERROR(__xludf.DUMMYFUNCTION("IMPORTRANGE(""https://docs.google.com/spreadsheets/d/1kVcqe37tkHyjCSG3S0O1AXqVkqjo8mSIZil3BcpIysc/edit?usp=sharing"",""ศูนย์!D18"")"),1475)</f>
        <v>1475</v>
      </c>
      <c r="K338" s="466">
        <f ca="1">IF(I338&gt;0,J338*100/I338,0)</f>
        <v>42.142857142857146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IFERROR(__xludf.DUMMYFUNCTION("IMPORTRANGE(""https://docs.google.com/spreadsheets/d/1QqKyyYR6Q21VydFLVH3TRQUabQu_ym0Zz7PgGX0-kHA/edit?usp=sharing"",""แผน!EH18"")"),7)</f>
        <v>7</v>
      </c>
      <c r="J340" s="270">
        <f ca="1">IFERROR(__xludf.DUMMYFUNCTION("IMPORTRANGE(""https://docs.google.com/spreadsheets/d/1kVcqe37tkHyjCSG3S0O1AXqVkqjo8mSIZil3BcpIysc/edit?usp=sharing"",""ศูนย์!E18"")"),5)</f>
        <v>5</v>
      </c>
      <c r="K340" s="466">
        <f ca="1">IF(I340&gt;0,J340*100/I340,0)</f>
        <v>71.428571428571431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IFERROR(__xludf.DUMMYFUNCTION("IMPORTRANGE(""https://docs.google.com/spreadsheets/d/1kVcqe37tkHyjCSG3S0O1AXqVkqjo8mSIZil3BcpIysc/edit?usp=sharing"",""ศูนย์!F18"")"),251)</f>
        <v>251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IFERROR(__xludf.DUMMYFUNCTION("IMPORTRANGE(""https://docs.google.com/spreadsheets/d/1kVcqe37tkHyjCSG3S0O1AXqVkqjo8mSIZil3BcpIysc/edit?usp=sharing"",""ศูนย์!G18"")"),3)</f>
        <v>3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809950</v>
      </c>
      <c r="M345" s="155">
        <f t="shared" ca="1" si="155"/>
        <v>476680</v>
      </c>
      <c r="N345" s="155">
        <f t="shared" ca="1" si="155"/>
        <v>286650</v>
      </c>
      <c r="O345" s="155">
        <f t="shared" ref="O345:O353" ca="1" si="156">IF(L345&gt;0,N345*100/L345,0)</f>
        <v>35.391073523056981</v>
      </c>
      <c r="P345" s="155">
        <f t="shared" ref="P345:P353" ca="1" si="157">IF(M345&gt;0,N345*100/M345,0)</f>
        <v>60.134681547369304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809950</v>
      </c>
      <c r="M347" s="93">
        <f t="shared" ca="1" si="158"/>
        <v>476680</v>
      </c>
      <c r="N347" s="93">
        <f t="shared" ca="1" si="158"/>
        <v>286650</v>
      </c>
      <c r="O347" s="93">
        <f t="shared" ca="1" si="156"/>
        <v>35.391073523056981</v>
      </c>
      <c r="P347" s="93">
        <f t="shared" ca="1" si="157"/>
        <v>60.134681547369304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638950</v>
      </c>
      <c r="M348" s="466">
        <f t="shared" ca="1" si="159"/>
        <v>319480</v>
      </c>
      <c r="N348" s="466">
        <f t="shared" ca="1" si="159"/>
        <v>129450</v>
      </c>
      <c r="O348" s="466">
        <f t="shared" ca="1" si="156"/>
        <v>20.259801236403476</v>
      </c>
      <c r="P348" s="466">
        <f t="shared" ca="1" si="157"/>
        <v>40.518968323525726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IFERROR(__xludf.DUMMYFUNCTION("IMPORTRANGE(""https://docs.google.com/spreadsheets/d/1MeEWN-I1oV_STSDYn1IFDPWt_1FKiwhDph83XaGc0o0/edit?usp=sharing"",""งบพรบ!EW18"")"),638950)</f>
        <v>638950</v>
      </c>
      <c r="M350" s="93">
        <f ca="1">IFERROR(__xludf.DUMMYFUNCTION("IMPORTRANGE(""https://docs.google.com/spreadsheets/d/1MeEWN-I1oV_STSDYn1IFDPWt_1FKiwhDph83XaGc0o0/edit?usp=sharing"",""งบพรบ!FB18"")"),319480)</f>
        <v>319480</v>
      </c>
      <c r="N350" s="93">
        <f ca="1">IFERROR(__xludf.DUMMYFUNCTION("IMPORTRANGE(""https://docs.google.com/spreadsheets/d/1MeEWN-I1oV_STSDYn1IFDPWt_1FKiwhDph83XaGc0o0/edit?usp=sharing"",""งบพรบ!FD18"")"),129450)</f>
        <v>129450</v>
      </c>
      <c r="O350" s="93">
        <f t="shared" ca="1" si="156"/>
        <v>20.259801236403476</v>
      </c>
      <c r="P350" s="93">
        <f t="shared" ca="1" si="157"/>
        <v>40.518968323525726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171000</v>
      </c>
      <c r="M351" s="466">
        <f t="shared" ca="1" si="160"/>
        <v>157200</v>
      </c>
      <c r="N351" s="466">
        <f t="shared" ca="1" si="160"/>
        <v>157200</v>
      </c>
      <c r="O351" s="466">
        <f t="shared" ca="1" si="156"/>
        <v>91.929824561403507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IFERROR(__xludf.DUMMYFUNCTION("IMPORTRANGE(""https://docs.google.com/spreadsheets/d/1MeEWN-I1oV_STSDYn1IFDPWt_1FKiwhDph83XaGc0o0/edit?usp=sharing"",""งบพรบ!EZ18"")"),171000)</f>
        <v>171000</v>
      </c>
      <c r="M353" s="93">
        <f ca="1">IFERROR(__xludf.DUMMYFUNCTION("IMPORTRANGE(""https://docs.google.com/spreadsheets/d/1MeEWN-I1oV_STSDYn1IFDPWt_1FKiwhDph83XaGc0o0/edit?usp=sharing"",""งบพรบ!FC18"")"),157200)</f>
        <v>157200</v>
      </c>
      <c r="N353" s="93">
        <f ca="1">IFERROR(__xludf.DUMMYFUNCTION("IMPORTRANGE(""https://docs.google.com/spreadsheets/d/1MeEWN-I1oV_STSDYn1IFDPWt_1FKiwhDph83XaGc0o0/edit?usp=sharing"",""งบพรบ!FE18"")"),157200)</f>
        <v>157200</v>
      </c>
      <c r="O353" s="93">
        <f t="shared" ca="1" si="156"/>
        <v>91.929824561403507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IFERROR(__xludf.DUMMYFUNCTION("IMPORTRANGE(""https://docs.google.com/spreadsheets/d/1QqKyyYR6Q21VydFLVH3TRQUabQu_ym0Zz7PgGX0-kHA/edit?usp=sharing"",""แผน!EP18"")"),380)</f>
        <v>380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IFERROR(__xludf.DUMMYFUNCTION("IMPORTRANGE(""https://docs.google.com/spreadsheets/d/1XWAQStnk-4SwqDmLtmXYiTMKHgktTP8We1SCoS47DrQ/edit?usp=sharing"",""จัดที่ดิน!W18"")"),102)</f>
        <v>102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IFERROR(__xludf.DUMMYFUNCTION("IMPORTRANGE(""https://docs.google.com/spreadsheets/d/1QqKyyYR6Q21VydFLVH3TRQUabQu_ym0Zz7PgGX0-kHA/edit?usp=sharing"",""แผน!EO18"")"),3500)</f>
        <v>3500</v>
      </c>
      <c r="J359" s="270">
        <f ca="1">IFERROR(__xludf.DUMMYFUNCTION("IMPORTRANGE(""https://docs.google.com/spreadsheets/d/1XWAQStnk-4SwqDmLtmXYiTMKHgktTP8We1SCoS47DrQ/edit?usp=sharing"",""จัดที่ดิน!X18"")"),1048.07)</f>
        <v>1048.07</v>
      </c>
      <c r="K359" s="466">
        <f t="shared" ca="1" si="161"/>
        <v>29.944857142857142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IFERROR(__xludf.DUMMYFUNCTION("IMPORTRANGE(""https://docs.google.com/spreadsheets/d/1QqKyyYR6Q21VydFLVH3TRQUabQu_ym0Zz7PgGX0-kHA/edit?usp=sharing"",""แผน!EP18"")"),380)</f>
        <v>380</v>
      </c>
      <c r="J360" s="270">
        <f ca="1">IFERROR(__xludf.DUMMYFUNCTION("IMPORTRANGE(""https://docs.google.com/spreadsheets/d/1XWAQStnk-4SwqDmLtmXYiTMKHgktTP8We1SCoS47DrQ/edit?usp=sharing"",""จัดที่ดิน!Y18"")"),0)</f>
        <v>0</v>
      </c>
      <c r="K360" s="466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IFERROR(__xludf.DUMMYFUNCTION("IMPORTRANGE(""https://docs.google.com/spreadsheets/d/1XWAQStnk-4SwqDmLtmXYiTMKHgktTP8We1SCoS47DrQ/edit?usp=sharing"",""จัดที่ดิน!Z18"")"),0)</f>
        <v>0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IFERROR(__xludf.DUMMYFUNCTION("IMPORTRANGE(""https://docs.google.com/spreadsheets/d/1QqKyyYR6Q21VydFLVH3TRQUabQu_ym0Zz7PgGX0-kHA/edit?usp=sharing"",""แผน!EP18"")"),380)</f>
        <v>380</v>
      </c>
      <c r="J362" s="270">
        <f ca="1">IFERROR(__xludf.DUMMYFUNCTION("IMPORTRANGE(""https://docs.google.com/spreadsheets/d/1XWAQStnk-4SwqDmLtmXYiTMKHgktTP8We1SCoS47DrQ/edit?usp=sharing"",""จัดที่ดิน!AA18"")"),0)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IFERROR(__xludf.DUMMYFUNCTION("IMPORTRANGE(""https://docs.google.com/spreadsheets/d/1XWAQStnk-4SwqDmLtmXYiTMKHgktTP8We1SCoS47DrQ/edit?usp=sharing"",""จัดที่ดิน!AB18"")"),0)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780</v>
      </c>
      <c r="J364" s="447">
        <f t="shared" ca="1" si="162"/>
        <v>2</v>
      </c>
      <c r="K364" s="448">
        <f t="shared" ca="1" si="161"/>
        <v>0.25641025641025639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IFERROR(__xludf.DUMMYFUNCTION("IMPORTRANGE(""https://docs.google.com/spreadsheets/d/1QqKyyYR6Q21VydFLVH3TRQUabQu_ym0Zz7PgGX0-kHA/edit?usp=sharing"",""แผน!EJ18"")"),200)</f>
        <v>200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IFERROR(__xludf.DUMMYFUNCTION("IMPORTRANGE(""https://docs.google.com/spreadsheets/d/1XWAQStnk-4SwqDmLtmXYiTMKHgktTP8We1SCoS47DrQ/edit?usp=sharing"",""จัดที่ดิน!E18"")"),26)</f>
        <v>26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IFERROR(__xludf.DUMMYFUNCTION("IMPORTRANGE(""https://docs.google.com/spreadsheets/d/1QqKyyYR6Q21VydFLVH3TRQUabQu_ym0Zz7PgGX0-kHA/edit?usp=sharing"",""แผน!EI18"")"),2000)</f>
        <v>2000</v>
      </c>
      <c r="J369" s="270">
        <f ca="1">IFERROR(__xludf.DUMMYFUNCTION("IMPORTRANGE(""https://docs.google.com/spreadsheets/d/1XWAQStnk-4SwqDmLtmXYiTMKHgktTP8We1SCoS47DrQ/edit?usp=sharing"",""จัดที่ดิน!F18"")"),252.56)</f>
        <v>252.56</v>
      </c>
      <c r="K369" s="466">
        <f t="shared" ca="1" si="163"/>
        <v>12.628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IFERROR(__xludf.DUMMYFUNCTION("IMPORTRANGE(""https://docs.google.com/spreadsheets/d/1QqKyyYR6Q21VydFLVH3TRQUabQu_ym0Zz7PgGX0-kHA/edit?usp=sharing"",""แผน!EJ18"")"),200)</f>
        <v>200</v>
      </c>
      <c r="J370" s="270">
        <f ca="1">IFERROR(__xludf.DUMMYFUNCTION("IMPORTRANGE(""https://docs.google.com/spreadsheets/d/1XWAQStnk-4SwqDmLtmXYiTMKHgktTP8We1SCoS47DrQ/edit?usp=sharing"",""จัดที่ดิน!G18"")"),0)</f>
        <v>0</v>
      </c>
      <c r="K370" s="46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IFERROR(__xludf.DUMMYFUNCTION("IMPORTRANGE(""https://docs.google.com/spreadsheets/d/1XWAQStnk-4SwqDmLtmXYiTMKHgktTP8We1SCoS47DrQ/edit?usp=sharing"",""จัดที่ดิน!H18"")"),0)</f>
        <v>0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IFERROR(__xludf.DUMMYFUNCTION("IMPORTRANGE(""https://docs.google.com/spreadsheets/d/1QqKyyYR6Q21VydFLVH3TRQUabQu_ym0Zz7PgGX0-kHA/edit?usp=sharing"",""แผน!EJ18"")"),200)</f>
        <v>200</v>
      </c>
      <c r="J372" s="270">
        <f ca="1">IFERROR(__xludf.DUMMYFUNCTION("IMPORTRANGE(""https://docs.google.com/spreadsheets/d/1XWAQStnk-4SwqDmLtmXYiTMKHgktTP8We1SCoS47DrQ/edit?usp=sharing"",""จัดที่ดิน!I18"")"),0)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IFERROR(__xludf.DUMMYFUNCTION("IMPORTRANGE(""https://docs.google.com/spreadsheets/d/1XWAQStnk-4SwqDmLtmXYiTMKHgktTP8We1SCoS47DrQ/edit?usp=sharing"",""จัดที่ดิน!J18"")"),0)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IFERROR(__xludf.DUMMYFUNCTION("IMPORTRANGE(""https://docs.google.com/spreadsheets/d/1QqKyyYR6Q21VydFLVH3TRQUabQu_ym0Zz7PgGX0-kHA/edit?usp=sharing"",""แผน!EU18"")"),580)</f>
        <v>580</v>
      </c>
      <c r="J374" s="459">
        <f ca="1">J381</f>
        <v>2</v>
      </c>
      <c r="K374" s="460">
        <f t="shared" ca="1" si="163"/>
        <v>0.34482758620689657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IFERROR(__xludf.DUMMYFUNCTION("IMPORTRANGE(""https://docs.google.com/spreadsheets/d/1XWAQStnk-4SwqDmLtmXYiTMKHgktTP8We1SCoS47DrQ/edit?usp=sharing"",""จัดที่ดิน!AH18"")"),76)</f>
        <v>76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IFERROR(__xludf.DUMMYFUNCTION("IMPORTRANGE(""https://docs.google.com/spreadsheets/d/1QqKyyYR6Q21VydFLVH3TRQUabQu_ym0Zz7PgGX0-kHA/edit?usp=sharing"",""แผน!ET18"")"),1500)</f>
        <v>1500</v>
      </c>
      <c r="J378" s="270">
        <f ca="1">IFERROR(__xludf.DUMMYFUNCTION("IMPORTRANGE(""https://docs.google.com/spreadsheets/d/1XWAQStnk-4SwqDmLtmXYiTMKHgktTP8We1SCoS47DrQ/edit?usp=sharing"",""จัดที่ดิน!AI18"")"),795.51)</f>
        <v>795.51</v>
      </c>
      <c r="K378" s="466">
        <f t="shared" ca="1" si="164"/>
        <v>53.033999999999999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IFERROR(__xludf.DUMMYFUNCTION("IMPORTRANGE(""https://docs.google.com/spreadsheets/d/1QqKyyYR6Q21VydFLVH3TRQUabQu_ym0Zz7PgGX0-kHA/edit?usp=sharing"",""แผน!EU18"")"),580)</f>
        <v>580</v>
      </c>
      <c r="J379" s="270">
        <f ca="1">IFERROR(__xludf.DUMMYFUNCTION("IMPORTRANGE(""https://docs.google.com/spreadsheets/d/1XWAQStnk-4SwqDmLtmXYiTMKHgktTP8We1SCoS47DrQ/edit?usp=sharing"",""จัดที่ดิน!AJ18"")"),2)</f>
        <v>2</v>
      </c>
      <c r="K379" s="466">
        <f t="shared" ca="1" si="164"/>
        <v>0.34482758620689657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IFERROR(__xludf.DUMMYFUNCTION("IMPORTRANGE(""https://docs.google.com/spreadsheets/d/1XWAQStnk-4SwqDmLtmXYiTMKHgktTP8We1SCoS47DrQ/edit?usp=sharing"",""จัดที่ดิน!AK18"")"),47.77)</f>
        <v>47.77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IFERROR(__xludf.DUMMYFUNCTION("IMPORTRANGE(""https://docs.google.com/spreadsheets/d/1QqKyyYR6Q21VydFLVH3TRQUabQu_ym0Zz7PgGX0-kHA/edit?usp=sharing"",""แผน!EU18"")"),580)</f>
        <v>580</v>
      </c>
      <c r="J381" s="270">
        <f ca="1">IFERROR(__xludf.DUMMYFUNCTION("IMPORTRANGE(""https://docs.google.com/spreadsheets/d/1XWAQStnk-4SwqDmLtmXYiTMKHgktTP8We1SCoS47DrQ/edit?usp=sharing"",""จัดที่ดิน!AL18"")"),2)</f>
        <v>2</v>
      </c>
      <c r="K381" s="466">
        <f t="shared" ca="1" si="164"/>
        <v>0.34482758620689657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IFERROR(__xludf.DUMMYFUNCTION("IMPORTRANGE(""https://docs.google.com/spreadsheets/d/1XWAQStnk-4SwqDmLtmXYiTMKHgktTP8We1SCoS47DrQ/edit?usp=sharing"",""จัดที่ดิน!AM18"")"),47.77)</f>
        <v>47.77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IFERROR(__xludf.DUMMYFUNCTION("IMPORTRANGE(""https://docs.google.com/spreadsheets/d/1QqKyyYR6Q21VydFLVH3TRQUabQu_ym0Zz7PgGX0-kHA/edit?usp=sharing"",""แผน!EW18"")"),100)</f>
        <v>100</v>
      </c>
      <c r="J385" s="469">
        <f ca="1">IFERROR(__xludf.DUMMYFUNCTION("IMPORTRANGE(""https://docs.google.com/spreadsheets/d/1XWAQStnk-4SwqDmLtmXYiTMKHgktTP8We1SCoS47DrQ/edit?usp=sharing"",""จัดที่ดิน!AP18"")"),0)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IFERROR(__xludf.DUMMYFUNCTION("IMPORTRANGE(""https://docs.google.com/spreadsheets/d/1MeEWN-I1oV_STSDYn1IFDPWt_1FKiwhDph83XaGc0o0/edit?usp=sharing"",""งบพรบ!FG18"")"),0)</f>
        <v>0</v>
      </c>
      <c r="M394" s="93">
        <f ca="1">IFERROR(__xludf.DUMMYFUNCTION("IMPORTRANGE(""https://docs.google.com/spreadsheets/d/1MeEWN-I1oV_STSDYn1IFDPWt_1FKiwhDph83XaGc0o0/edit?usp=sharing"",""งบพรบ!FL18"")"),0)</f>
        <v>0</v>
      </c>
      <c r="N394" s="93">
        <f ca="1">IFERROR(__xludf.DUMMYFUNCTION("IMPORTRANGE(""https://docs.google.com/spreadsheets/d/1MeEWN-I1oV_STSDYn1IFDPWt_1FKiwhDph83XaGc0o0/edit?usp=sharing"",""งบพรบ!FN18"")"),0)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IFERROR(__xludf.DUMMYFUNCTION("IMPORTRANGE(""https://docs.google.com/spreadsheets/d/1MeEWN-I1oV_STSDYn1IFDPWt_1FKiwhDph83XaGc0o0/edit?usp=sharing"",""งบพรบ!FJ18"")"),0)</f>
        <v>0</v>
      </c>
      <c r="M397" s="93">
        <f ca="1">IFERROR(__xludf.DUMMYFUNCTION("IMPORTRANGE(""https://docs.google.com/spreadsheets/d/1MeEWN-I1oV_STSDYn1IFDPWt_1FKiwhDph83XaGc0o0/edit?usp=sharing"",""งบพรบ!FM18"")"),0)</f>
        <v>0</v>
      </c>
      <c r="N397" s="93">
        <f ca="1">IFERROR(__xludf.DUMMYFUNCTION("IMPORTRANGE(""https://docs.google.com/spreadsheets/d/1MeEWN-I1oV_STSDYn1IFDPWt_1FKiwhDph83XaGc0o0/edit?usp=sharing"",""งบพรบ!FO18"")"),0)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IFERROR(__xludf.DUMMYFUNCTION("IMPORTRANGE(""https://docs.google.com/spreadsheets/d/1MeEWN-I1oV_STSDYn1IFDPWt_1FKiwhDph83XaGc0o0/edit?usp=sharing"",""งบพรบ!FQ18"")"),0)</f>
        <v>0</v>
      </c>
      <c r="M407" s="93">
        <f ca="1">IFERROR(__xludf.DUMMYFUNCTION("IMPORTRANGE(""https://docs.google.com/spreadsheets/d/1MeEWN-I1oV_STSDYn1IFDPWt_1FKiwhDph83XaGc0o0/edit?usp=sharing"",""งบพรบ!FV18"")"),0)</f>
        <v>0</v>
      </c>
      <c r="N407" s="93">
        <f ca="1">IFERROR(__xludf.DUMMYFUNCTION("IMPORTRANGE(""https://docs.google.com/spreadsheets/d/1MeEWN-I1oV_STSDYn1IFDPWt_1FKiwhDph83XaGc0o0/edit?usp=sharing"",""งบพรบ!FX18"")"),0)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IFERROR(__xludf.DUMMYFUNCTION("IMPORTRANGE(""https://docs.google.com/spreadsheets/d/1MeEWN-I1oV_STSDYn1IFDPWt_1FKiwhDph83XaGc0o0/edit?usp=sharing"",""งบพรบ!FT18"")"),0)</f>
        <v>0</v>
      </c>
      <c r="M410" s="93">
        <f ca="1">IFERROR(__xludf.DUMMYFUNCTION("IMPORTRANGE(""https://docs.google.com/spreadsheets/d/1MeEWN-I1oV_STSDYn1IFDPWt_1FKiwhDph83XaGc0o0/edit?usp=sharing"",""งบพรบ!FW18"")"),0)</f>
        <v>0</v>
      </c>
      <c r="N410" s="93">
        <f ca="1">IFERROR(__xludf.DUMMYFUNCTION("IMPORTRANGE(""https://docs.google.com/spreadsheets/d/1MeEWN-I1oV_STSDYn1IFDPWt_1FKiwhDph83XaGc0o0/edit?usp=sharing"",""งบพรบ!FY18"")"),0)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3313339</v>
      </c>
      <c r="M414" s="517">
        <f t="shared" si="181"/>
        <v>0</v>
      </c>
      <c r="N414" s="517">
        <f t="shared" si="181"/>
        <v>220977.7</v>
      </c>
      <c r="O414" s="517">
        <f ca="1">IF(L414&gt;0,N414*100/L414,0)</f>
        <v>6.6693356761864697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70</v>
      </c>
      <c r="J417" s="533">
        <f t="shared" ca="1" si="182"/>
        <v>70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234110</v>
      </c>
      <c r="M419" s="155">
        <f t="shared" si="184"/>
        <v>0</v>
      </c>
      <c r="N419" s="155">
        <f t="shared" si="184"/>
        <v>109910</v>
      </c>
      <c r="O419" s="155">
        <f t="shared" ref="O419:O424" ca="1" si="185">IF(L419&gt;0,N419*100/L419,0)</f>
        <v>46.948015889966257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234110</v>
      </c>
      <c r="M421" s="93">
        <f t="shared" si="187"/>
        <v>0</v>
      </c>
      <c r="N421" s="93">
        <f t="shared" si="187"/>
        <v>109910</v>
      </c>
      <c r="O421" s="93">
        <f t="shared" ca="1" si="185"/>
        <v>46.948015889966257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234110</v>
      </c>
      <c r="M422" s="466">
        <f t="shared" si="188"/>
        <v>0</v>
      </c>
      <c r="N422" s="466">
        <f t="shared" si="188"/>
        <v>109910</v>
      </c>
      <c r="O422" s="466">
        <f t="shared" ca="1" si="185"/>
        <v>46.948015889966257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IFERROR(__xludf.DUMMYFUNCTION("IMPORTRANGE(""https://docs.google.com/spreadsheets/d/1QqKyyYR6Q21VydFLVH3TRQUabQu_ym0Zz7PgGX0-kHA/edit?usp=sharing"",""แผน!EY18"")"),234110)</f>
        <v>234110</v>
      </c>
      <c r="M424" s="93">
        <v>0</v>
      </c>
      <c r="N424" s="93">
        <f>N425+N426+N427+N428</f>
        <v>109910</v>
      </c>
      <c r="O424" s="93">
        <f t="shared" ca="1" si="185"/>
        <v>46.948015889966257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104550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f>5360</f>
        <v>5360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70</v>
      </c>
      <c r="J433" s="647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2</v>
      </c>
      <c r="J434" s="647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IFERROR(__xludf.DUMMYFUNCTION("IMPORTRANGE(""https://docs.google.com/spreadsheets/d/1QqKyyYR6Q21VydFLVH3TRQUabQu_ym0Zz7PgGX0-kHA/edit?usp=sharing"",""แผน!FC18"")"),70)</f>
        <v>70</v>
      </c>
      <c r="J435" s="549">
        <v>70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IFERROR(__xludf.DUMMYFUNCTION("IMPORTRANGE(""https://docs.google.com/spreadsheets/d/1QqKyyYR6Q21VydFLVH3TRQUabQu_ym0Zz7PgGX0-kHA/edit?usp=sharing"",""แผน!FD18"")"),50)</f>
        <v>50</v>
      </c>
      <c r="J437" s="549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IFERROR(__xludf.DUMMYFUNCTION("IMPORTRANGE(""https://docs.google.com/spreadsheets/d/1QqKyyYR6Q21VydFLVH3TRQUabQu_ym0Zz7PgGX0-kHA/edit?usp=sharing"",""แผน!FF18"")"),20)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40</v>
      </c>
      <c r="J442" s="555">
        <f t="shared" si="195"/>
        <v>40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80</v>
      </c>
      <c r="J443" s="533">
        <f t="shared" si="196"/>
        <v>80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321680</v>
      </c>
      <c r="M444" s="195">
        <f t="shared" si="197"/>
        <v>0</v>
      </c>
      <c r="N444" s="195">
        <f t="shared" si="197"/>
        <v>53300</v>
      </c>
      <c r="O444" s="195">
        <f t="shared" ref="O444:O449" ca="1" si="198">IF(L444&gt;0,N444*100/L444,0)</f>
        <v>16.569261377766725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321680</v>
      </c>
      <c r="M446" s="93">
        <f t="shared" si="200"/>
        <v>0</v>
      </c>
      <c r="N446" s="93">
        <f t="shared" si="200"/>
        <v>53300</v>
      </c>
      <c r="O446" s="93">
        <f t="shared" ca="1" si="198"/>
        <v>16.569261377766725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321680</v>
      </c>
      <c r="M447" s="466">
        <f t="shared" si="201"/>
        <v>0</v>
      </c>
      <c r="N447" s="466">
        <f t="shared" si="201"/>
        <v>53300</v>
      </c>
      <c r="O447" s="466">
        <f t="shared" ca="1" si="198"/>
        <v>16.569261377766725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IFERROR(__xludf.DUMMYFUNCTION("IMPORTRANGE(""https://docs.google.com/spreadsheets/d/1QqKyyYR6Q21VydFLVH3TRQUabQu_ym0Zz7PgGX0-kHA/edit?usp=sharing"",""แผน!FJ18"")"),321680)</f>
        <v>321680</v>
      </c>
      <c r="M449" s="93">
        <v>0</v>
      </c>
      <c r="N449" s="93">
        <f>N450+N451+N452+N453</f>
        <v>53300</v>
      </c>
      <c r="O449" s="93">
        <f t="shared" ca="1" si="198"/>
        <v>16.569261377766725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25140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13000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15160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IFERROR(__xludf.DUMMYFUNCTION("IMPORTRANGE(""https://docs.google.com/spreadsheets/d/1QqKyyYR6Q21VydFLVH3TRQUabQu_ym0Zz7PgGX0-kHA/edit?usp=sharing"",""แผน!FN18"")"),40)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IFERROR(__xludf.DUMMYFUNCTION("IMPORTRANGE(""https://docs.google.com/spreadsheets/d/1QqKyyYR6Q21VydFLVH3TRQUabQu_ym0Zz7PgGX0-kHA/edit?usp=sharing"",""แผน!FO18"")"),80)</f>
        <v>80</v>
      </c>
      <c r="J462" s="215">
        <v>80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IFERROR(__xludf.DUMMYFUNCTION("IMPORTRANGE(""https://docs.google.com/spreadsheets/d/1QqKyyYR6Q21VydFLVH3TRQUabQu_ym0Zz7PgGX0-kHA/edit?usp=sharing"",""แผน!FO18"")"),80)</f>
        <v>80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IFERROR(__xludf.DUMMYFUNCTION("IMPORTRANGE(""https://docs.google.com/spreadsheets/d/1QqKyyYR6Q21VydFLVH3TRQUabQu_ym0Zz7PgGX0-kHA/edit?usp=sharing"",""แผน!FN18"")"),40)</f>
        <v>40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IFERROR(__xludf.DUMMYFUNCTION("IMPORTRANGE(""https://docs.google.com/spreadsheets/d/1QqKyyYR6Q21VydFLVH3TRQUabQu_ym0Zz7PgGX0-kHA/edit?usp=sharing"",""แผน!FX18"")"),131)</f>
        <v>131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IFERROR(__xludf.DUMMYFUNCTION("IMPORTRANGE(""https://docs.google.com/spreadsheets/d/1QqKyyYR6Q21VydFLVH3TRQUabQu_ym0Zz7PgGX0-kHA/edit?usp=sharing"",""แผน!FW18"")"),1300)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1167118</v>
      </c>
      <c r="M467" s="195">
        <f t="shared" si="206"/>
        <v>0</v>
      </c>
      <c r="N467" s="195">
        <f t="shared" si="206"/>
        <v>25553</v>
      </c>
      <c r="O467" s="195">
        <f t="shared" ref="O467:O472" ca="1" si="207">IF(L467&gt;0,N467*100/L467,0)</f>
        <v>2.1894101539004627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1167118</v>
      </c>
      <c r="M469" s="93">
        <f t="shared" si="209"/>
        <v>0</v>
      </c>
      <c r="N469" s="93">
        <f t="shared" si="209"/>
        <v>25553</v>
      </c>
      <c r="O469" s="93">
        <f t="shared" ca="1" si="207"/>
        <v>2.1894101539004627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1167118</v>
      </c>
      <c r="M470" s="466">
        <f t="shared" si="210"/>
        <v>0</v>
      </c>
      <c r="N470" s="466">
        <f t="shared" si="210"/>
        <v>25553</v>
      </c>
      <c r="O470" s="466">
        <f t="shared" ca="1" si="207"/>
        <v>2.1894101539004627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IFERROR(__xludf.DUMMYFUNCTION("IMPORTRANGE(""https://docs.google.com/spreadsheets/d/1QqKyyYR6Q21VydFLVH3TRQUabQu_ym0Zz7PgGX0-kHA/edit?usp=sharing"",""แผน!FS18"")"),1167118)</f>
        <v>1167118</v>
      </c>
      <c r="M472" s="93">
        <v>0</v>
      </c>
      <c r="N472" s="93">
        <f>N473+N474+N475+N476</f>
        <v>25553</v>
      </c>
      <c r="O472" s="93">
        <f t="shared" ca="1" si="207"/>
        <v>2.1894101539004627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f>2200+5140</f>
        <v>7340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f>9093</f>
        <v>9093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f>5400+3720</f>
        <v>9120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IFERROR(__xludf.DUMMYFUNCTION("IMPORTRANGE(""https://docs.google.com/spreadsheets/d/1QqKyyYR6Q21VydFLVH3TRQUabQu_ym0Zz7PgGX0-kHA/edit?usp=sharing"",""แผน!FY18"")"),1170)</f>
        <v>1170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IFERROR(__xludf.DUMMYFUNCTION("IMPORTRANGE(""https://docs.google.com/spreadsheets/d/1QqKyyYR6Q21VydFLVH3TRQUabQu_ym0Zz7PgGX0-kHA/edit?usp=sharing"",""แผน!FZ18"")"),117)</f>
        <v>117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IFERROR(__xludf.DUMMYFUNCTION("IMPORTRANGE(""https://docs.google.com/spreadsheets/d/1QqKyyYR6Q21VydFLVH3TRQUabQu_ym0Zz7PgGX0-kHA/edit?usp=sharing"",""แผน!GA18"")"),130)</f>
        <v>130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IFERROR(__xludf.DUMMYFUNCTION("IMPORTRANGE(""https://docs.google.com/spreadsheets/d/1QqKyyYR6Q21VydFLVH3TRQUabQu_ym0Zz7PgGX0-kHA/edit?usp=sharing"",""แผน!GB18"")"),13)</f>
        <v>13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IFERROR(__xludf.DUMMYFUNCTION("IMPORTRANGE(""https://docs.google.com/spreadsheets/d/1QqKyyYR6Q21VydFLVH3TRQUabQu_ym0Zz7PgGX0-kHA/edit?usp=sharing"",""แผน!GC18"")"),1)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IFERROR(__xludf.DUMMYFUNCTION("IMPORTRANGE(""https://docs.google.com/spreadsheets/d/1QqKyyYR6Q21VydFLVH3TRQUabQu_ym0Zz7PgGX0-kHA/edit?usp=sharing"",""แผน!FY18"")"),1170)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IFERROR(__xludf.DUMMYFUNCTION("IMPORTRANGE(""https://docs.google.com/spreadsheets/d/1QqKyyYR6Q21VydFLVH3TRQUabQu_ym0Zz7PgGX0-kHA/edit?usp=sharing"",""แผน!GA18"")"),130)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IFERROR(__xludf.DUMMYFUNCTION("IMPORTRANGE(""https://docs.google.com/spreadsheets/d/1QqKyyYR6Q21VydFLVH3TRQUabQu_ym0Zz7PgGX0-kHA/edit?usp=sharing"",""แผน!GU18"")"),0)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47776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409976</v>
      </c>
      <c r="M544" s="155">
        <f t="shared" si="236"/>
        <v>0</v>
      </c>
      <c r="N544" s="155">
        <f t="shared" si="236"/>
        <v>15298</v>
      </c>
      <c r="O544" s="155">
        <f t="shared" ref="O544:O549" ca="1" si="237">IF(L544&gt;0,N544*100/L544,0)</f>
        <v>3.7314379378305071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409976</v>
      </c>
      <c r="M546" s="93">
        <f t="shared" si="240"/>
        <v>0</v>
      </c>
      <c r="N546" s="93">
        <f t="shared" si="240"/>
        <v>15298</v>
      </c>
      <c r="O546" s="93">
        <f t="shared" ca="1" si="237"/>
        <v>3.7314379378305071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409976</v>
      </c>
      <c r="M547" s="466">
        <f t="shared" si="241"/>
        <v>0</v>
      </c>
      <c r="N547" s="466">
        <f t="shared" si="241"/>
        <v>15298</v>
      </c>
      <c r="O547" s="466">
        <f t="shared" ca="1" si="237"/>
        <v>3.7314379378305071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IFERROR(__xludf.DUMMYFUNCTION("IMPORTRANGE(""https://docs.google.com/spreadsheets/d/1QqKyyYR6Q21VydFLVH3TRQUabQu_ym0Zz7PgGX0-kHA/edit?usp=sharing"",""แผน!HB18"")"),409976)</f>
        <v>409976</v>
      </c>
      <c r="M549" s="93">
        <v>0</v>
      </c>
      <c r="N549" s="93">
        <f>N550+N551+N552+N553+N554</f>
        <v>15298</v>
      </c>
      <c r="O549" s="93">
        <f t="shared" ca="1" si="237"/>
        <v>3.7314379378305071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11698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3600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47776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IFERROR(__xludf.DUMMYFUNCTION("IMPORTRANGE(""https://docs.google.com/spreadsheets/d/1QqKyyYR6Q21VydFLVH3TRQUabQu_ym0Zz7PgGX0-kHA/edit?usp=sharing"",""แผน!HH18"")"),47776)</f>
        <v>47776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IFERROR(__xludf.DUMMYFUNCTION("IMPORTRANGE(""https://docs.google.com/spreadsheets/d/1QqKyyYR6Q21VydFLVH3TRQUabQu_ym0Zz7PgGX0-kHA/edit?usp=sharing"",""แผน!HG18"")"),5415)</f>
        <v>5415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IFERROR(__xludf.DUMMYFUNCTION("IMPORTRANGE(""https://docs.google.com/spreadsheets/d/1QqKyyYR6Q21VydFLVH3TRQUabQu_ym0Zz7PgGX0-kHA/edit?usp=sharing"",""แผน!HH18"")"),47776)</f>
        <v>47776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IFERROR(__xludf.DUMMYFUNCTION("IMPORTRANGE(""https://docs.google.com/spreadsheets/d/1QqKyyYR6Q21VydFLVH3TRQUabQu_ym0Zz7PgGX0-kHA/edit?usp=sharing"",""แผน!HG18"")"),5415)</f>
        <v>5415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IFERROR(__xludf.DUMMYFUNCTION("IMPORTRANGE(""https://docs.google.com/spreadsheets/d/1QqKyyYR6Q21VydFLVH3TRQUabQu_ym0Zz7PgGX0-kHA/edit?usp=sharing"",""แผน!HH18"")"),47776)</f>
        <v>47776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IFERROR(__xludf.DUMMYFUNCTION("IMPORTRANGE(""https://docs.google.com/spreadsheets/d/1QqKyyYR6Q21VydFLVH3TRQUabQu_ym0Zz7PgGX0-kHA/edit?usp=sharing"",""แผน!HG18"")"),5415)</f>
        <v>5415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4399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IFERROR(__xludf.DUMMYFUNCTION("IMPORTRANGE(""https://docs.google.com/spreadsheets/d/1QqKyyYR6Q21VydFLVH3TRQUabQu_ym0Zz7PgGX0-kHA/edit?usp=sharing"",""แผน!HJ18"")"),4399)</f>
        <v>4399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IFERROR(__xludf.DUMMYFUNCTION("IMPORTRANGE(""https://docs.google.com/spreadsheets/d/1QqKyyYR6Q21VydFLVH3TRQUabQu_ym0Zz7PgGX0-kHA/edit?usp=sharing"",""แผน!HI18"")"),269)</f>
        <v>269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IFERROR(__xludf.DUMMYFUNCTION("IMPORTRANGE(""https://docs.google.com/spreadsheets/d/1QqKyyYR6Q21VydFLVH3TRQUabQu_ym0Zz7PgGX0-kHA/edit?usp=sharing"",""แผน!HL18"")"),0)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IFERROR(__xludf.DUMMYFUNCTION("IMPORTRANGE(""https://docs.google.com/spreadsheets/d/1QqKyyYR6Q21VydFLVH3TRQUabQu_ym0Zz7PgGX0-kHA/edit?usp=sharing"",""แผน!HK18"")"),0)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715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1015785</v>
      </c>
      <c r="M629" s="195">
        <f t="shared" si="263"/>
        <v>0</v>
      </c>
      <c r="N629" s="195">
        <f t="shared" si="263"/>
        <v>16916.7</v>
      </c>
      <c r="O629" s="195">
        <f t="shared" ref="O629:O634" ca="1" si="264">IF(L629&gt;0,N629*100/L629,0)</f>
        <v>1.6653819459826638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1015785</v>
      </c>
      <c r="M631" s="93">
        <f t="shared" si="266"/>
        <v>0</v>
      </c>
      <c r="N631" s="93">
        <f t="shared" si="266"/>
        <v>16916.7</v>
      </c>
      <c r="O631" s="93">
        <f t="shared" ca="1" si="264"/>
        <v>1.6653819459826638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1015785</v>
      </c>
      <c r="M632" s="466">
        <f t="shared" si="267"/>
        <v>0</v>
      </c>
      <c r="N632" s="466">
        <f t="shared" si="267"/>
        <v>16916.7</v>
      </c>
      <c r="O632" s="466">
        <f t="shared" ca="1" si="264"/>
        <v>1.6653819459826638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IFERROR(__xludf.DUMMYFUNCTION("IMPORTRANGE(""https://docs.google.com/spreadsheets/d/1QqKyyYR6Q21VydFLVH3TRQUabQu_ym0Zz7PgGX0-kHA/edit?usp=sharing"",""แผน!HN18"")"),1015785)</f>
        <v>1015785</v>
      </c>
      <c r="M634" s="93">
        <v>0</v>
      </c>
      <c r="N634" s="93">
        <f>N635+N636+N637+N638</f>
        <v>16916.7</v>
      </c>
      <c r="O634" s="93">
        <f t="shared" ca="1" si="264"/>
        <v>1.6653819459826638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16916.7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IFERROR(__xludf.DUMMYFUNCTION("IMPORTRANGE(""https://docs.google.com/spreadsheets/d/1QqKyyYR6Q21VydFLVH3TRQUabQu_ym0Zz7PgGX0-kHA/edit?usp=sharing"",""แผน!HR18"")"),9)</f>
        <v>9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IFERROR(__xludf.DUMMYFUNCTION("IMPORTRANGE(""https://docs.google.com/spreadsheets/d/1QqKyyYR6Q21VydFLVH3TRQUabQu_ym0Zz7PgGX0-kHA/edit?usp=sharing"",""แผน!HR18"")"),9)</f>
        <v>9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IFERROR(__xludf.DUMMYFUNCTION("IMPORTRANGE(""https://docs.google.com/spreadsheets/d/1XWAQStnk-4SwqDmLtmXYiTMKHgktTP8We1SCoS47DrQ/edit?usp=sharing"",""จัดที่ดิน!AS18"")"),30)</f>
        <v>30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IFERROR(__xludf.DUMMYFUNCTION("IMPORTRANGE(""https://docs.google.com/spreadsheets/d/1XWAQStnk-4SwqDmLtmXYiTMKHgktTP8We1SCoS47DrQ/edit?usp=sharing"",""จัดที่ดิน!AT18"")"),13.06)</f>
        <v>13.06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IFERROR(__xludf.DUMMYFUNCTION("IMPORTRANGE(""https://docs.google.com/spreadsheets/d/1QqKyyYR6Q21VydFLVH3TRQUabQu_ym0Zz7PgGX0-kHA/edit?usp=sharing"",""แผน!HS18"")"),715)</f>
        <v>715</v>
      </c>
      <c r="J647" s="270">
        <f ca="1">IFERROR(__xludf.DUMMYFUNCTION("IMPORTRANGE(""https://docs.google.com/spreadsheets/d/1XWAQStnk-4SwqDmLtmXYiTMKHgktTP8We1SCoS47DrQ/edit?usp=sharing"",""จัดที่ดิน!AU18"")"),0)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IFERROR(__xludf.DUMMYFUNCTION("IMPORTRANGE(""https://docs.google.com/spreadsheets/d/1XWAQStnk-4SwqDmLtmXYiTMKHgktTP8We1SCoS47DrQ/edit?usp=sharing"",""จัดที่ดิน!AV18"")"),0)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IFERROR(__xludf.DUMMYFUNCTION("IMPORTRANGE(""https://docs.google.com/spreadsheets/d/1QqKyyYR6Q21VydFLVH3TRQUabQu_ym0Zz7PgGX0-kHA/edit?usp=sharing"",""แผน!HS18"")"),715)</f>
        <v>715</v>
      </c>
      <c r="J649" s="270">
        <f ca="1">IFERROR(__xludf.DUMMYFUNCTION("IMPORTRANGE(""https://docs.google.com/spreadsheets/d/1XWAQStnk-4SwqDmLtmXYiTMKHgktTP8We1SCoS47DrQ/edit?usp=sharing"",""จัดที่ดิน!AW18"")"),0)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IFERROR(__xludf.DUMMYFUNCTION("IMPORTRANGE(""https://docs.google.com/spreadsheets/d/1XWAQStnk-4SwqDmLtmXYiTMKHgktTP8We1SCoS47DrQ/edit?usp=sharing"",""จัดที่ดิน!AX18"")"),0)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IFERROR(__xludf.DUMMYFUNCTION("IMPORTRANGE(""https://docs.google.com/spreadsheets/d/1QqKyyYR6Q21VydFLVH3TRQUabQu_ym0Zz7PgGX0-kHA/edit?usp=sharing"",""แผน!HS18"")"),715)</f>
        <v>715</v>
      </c>
      <c r="J651" s="270">
        <f ca="1">IFERROR(__xludf.DUMMYFUNCTION("IMPORTRANGE(""https://docs.google.com/spreadsheets/d/1XWAQStnk-4SwqDmLtmXYiTMKHgktTP8We1SCoS47DrQ/edit?usp=sharing"",""จัดที่ดิน!AY18"")"),0)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IFERROR(__xludf.DUMMYFUNCTION("IMPORTRANGE(""https://docs.google.com/spreadsheets/d/1XWAQStnk-4SwqDmLtmXYiTMKHgktTP8We1SCoS47DrQ/edit?usp=sharing"",""จัดที่ดิน!AZ18"")"),0)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IFERROR(__xludf.DUMMYFUNCTION("IMPORTRANGE(""https://docs.google.com/spreadsheets/d/1QqKyyYR6Q21VydFLVH3TRQUabQu_ym0Zz7PgGX0-kHA/edit?usp=sharing"",""แผน!IA18"")"),0)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IFERROR(__xludf.DUMMYFUNCTION("IMPORTRANGE(""https://docs.google.com/spreadsheets/d/1QqKyyYR6Q21VydFLVH3TRQUabQu_ym0Zz7PgGX0-kHA/edit?usp=sharing"",""แผน!HZ18"")"),0)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IFERROR(__xludf.DUMMYFUNCTION("IMPORTRANGE(""https://docs.google.com/spreadsheets/d/1QqKyyYR6Q21VydFLVH3TRQUabQu_ym0Zz7PgGX0-kHA/edit?usp=sharing"",""แผน!HZ18"")"),0)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IFERROR(__xludf.DUMMYFUNCTION("IMPORTRANGE(""https://docs.google.com/spreadsheets/d/1QqKyyYR6Q21VydFLVH3TRQUabQu_ym0Zz7PgGX0-kHA/edit?usp=sharing"",""แผน!IB18"")"),0)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164670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164670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164670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IFERROR(__xludf.DUMMYFUNCTION("IMPORTRANGE(""https://docs.google.com/spreadsheets/d/1QqKyyYR6Q21VydFLVH3TRQUabQu_ym0Zz7PgGX0-kHA/edit?usp=sharing"",""แผน!HW18"")"),164670)</f>
        <v>164670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IFERROR(__xludf.DUMMYFUNCTION("IMPORTRANGE(""https://docs.google.com/spreadsheets/d/1QqKyyYR6Q21VydFLVH3TRQUabQu_ym0Zz7PgGX0-kHA/edit?usp=sharing"",""แผน!IC18"")"),0)</f>
        <v>0</v>
      </c>
      <c r="J699" s="270">
        <f ca="1">IFERROR(__xludf.DUMMYFUNCTION("IMPORTRANGE(""https://docs.google.com/spreadsheets/d/1XWAQStnk-4SwqDmLtmXYiTMKHgktTP8We1SCoS47DrQ/edit?usp=sharing"",""จัดที่ดิน!BB18"")"),0)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IFERROR(__xludf.DUMMYFUNCTION("IMPORTRANGE(""https://docs.google.com/spreadsheets/d/1QqKyyYR6Q21VydFLVH3TRQUabQu_ym0Zz7PgGX0-kHA/edit?usp=sharing"",""แผน!ID18"")"),40)</f>
        <v>40</v>
      </c>
      <c r="J700" s="270">
        <f ca="1">IFERROR(__xludf.DUMMYFUNCTION("IMPORTRANGE(""https://docs.google.com/spreadsheets/d/1XWAQStnk-4SwqDmLtmXYiTMKHgktTP8We1SCoS47DrQ/edit?usp=sharing"",""จัดที่ดิน!BD18"")"),0)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IFERROR(__xludf.DUMMYFUNCTION("IMPORTRANGE(""https://docs.google.com/spreadsheets/d/1QqKyyYR6Q21VydFLVH3TRQUabQu_ym0Zz7PgGX0-kHA/edit?usp=sharing"",""แผน!IE18"")"),1455)</f>
        <v>1455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IFERROR(__xludf.DUMMYFUNCTION("IMPORTRANGE(""https://docs.google.com/spreadsheets/d/1QqKyyYR6Q21VydFLVH3TRQUabQu_ym0Zz7PgGX0-kHA/edit?usp=sharing"",""แผน!IF18"")"),1455)</f>
        <v>1455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IFERROR(__xludf.DUMMYFUNCTION("IMPORTRANGE(""https://docs.google.com/spreadsheets/d/1QqKyyYR6Q21VydFLVH3TRQUabQu_ym0Zz7PgGX0-kHA/edit?usp=sharing"",""แผน!IG18"")"),0)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IFERROR(__xludf.DUMMYFUNCTION("IMPORTRANGE(""https://docs.google.com/spreadsheets/d/1QqKyyYR6Q21VydFLVH3TRQUabQu_ym0Zz7PgGX0-kHA/edit?usp=sharing"",""แผน!IH18"")"),1846)</f>
        <v>1846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IFERROR(__xludf.DUMMYFUNCTION("IMPORTRANGE(""https://docs.google.com/spreadsheets/d/1XWAQStnk-4SwqDmLtmXYiTMKHgktTP8We1SCoS47DrQ/edit?usp=sharing"",""จัดที่ดิน!BF18"")"),0)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IFERROR(__xludf.DUMMYFUNCTION("IMPORTRANGE(""https://docs.google.com/spreadsheets/d/1XWAQStnk-4SwqDmLtmXYiTMKHgktTP8We1SCoS47DrQ/edit?usp=sharing"",""จัดที่ดิน!BG18"")"),0)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IFERROR(__xludf.DUMMYFUNCTION("IMPORTRANGE(""https://docs.google.com/spreadsheets/d/1QqKyyYR6Q21VydFLVH3TRQUabQu_ym0Zz7PgGX0-kHA/edit?usp=sharing"",""แผน!II18"")"),2585)</f>
        <v>2585</v>
      </c>
      <c r="J720" s="270">
        <f ca="1">IFERROR(__xludf.DUMMYFUNCTION("IMPORTRANGE(""https://docs.google.com/spreadsheets/d/1XWAQStnk-4SwqDmLtmXYiTMKHgktTP8We1SCoS47DrQ/edit?usp=sharing"",""จัดที่ดิน!BH18"")"),0)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IFERROR(__xludf.DUMMYFUNCTION("IMPORTRANGE(""https://docs.google.com/spreadsheets/d/1QqKyyYR6Q21VydFLVH3TRQUabQu_ym0Zz7PgGX0-kHA/edit?usp=sharing"",""แผน!IJ18"")"),40)</f>
        <v>40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IFERROR(__xludf.DUMMYFUNCTION("IMPORTRANGE(""https://docs.google.com/spreadsheets/d/1QqKyyYR6Q21VydFLVH3TRQUabQu_ym0Zz7PgGX0-kHA/edit?usp=sharing"",""แผน!IK18"")"),1009)</f>
        <v>1009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IFERROR(__xludf.DUMMYFUNCTION("IMPORTRANGE(""https://docs.google.com/spreadsheets/d/1QqKyyYR6Q21VydFLVH3TRQUabQu_ym0Zz7PgGX0-kHA/edit?usp=sharing"",""แผน!IL18"")"),40)</f>
        <v>40</v>
      </c>
      <c r="J723" s="270">
        <f ca="1">IFERROR(__xludf.DUMMYFUNCTION("IMPORTRANGE(""https://docs.google.com/spreadsheets/d/1XWAQStnk-4SwqDmLtmXYiTMKHgktTP8We1SCoS47DrQ/edit?usp=sharing"",""จัดที่ดิน!BM18"")"),0)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IFERROR(__xludf.DUMMYFUNCTION("IMPORTRANGE(""https://docs.google.com/spreadsheets/d/1XWAQStnk-4SwqDmLtmXYiTMKHgktTP8We1SCoS47DrQ/edit?usp=sharing"",""จัดที่ดิน!BN18"")"),0)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IFERROR(__xludf.DUMMYFUNCTION("IMPORTRANGE(""https://docs.google.com/spreadsheets/d/1QqKyyYR6Q21VydFLVH3TRQUabQu_ym0Zz7PgGX0-kHA/edit?usp=sharing"",""แผน!IM18"")"),1009)</f>
        <v>1009</v>
      </c>
      <c r="J725" s="270">
        <f ca="1">IFERROR(__xludf.DUMMYFUNCTION("IMPORTRANGE(""https://docs.google.com/spreadsheets/d/1XWAQStnk-4SwqDmLtmXYiTMKHgktTP8We1SCoS47DrQ/edit?usp=sharing"",""จัดที่ดิน!BO18"")"),0)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IFERROR(__xludf.DUMMYFUNCTION("IMPORTRANGE(""https://docs.google.com/spreadsheets/d/1QqKyyYR6Q21VydFLVH3TRQUabQu_ym0Zz7PgGX0-kHA/edit?usp=sharing"",""แผน!IN18"")"),0)</f>
        <v>0</v>
      </c>
      <c r="J726" s="270">
        <f ca="1">IFERROR(__xludf.DUMMYFUNCTION("IMPORTRANGE(""https://docs.google.com/spreadsheets/d/1XWAQStnk-4SwqDmLtmXYiTMKHgktTP8We1SCoS47DrQ/edit?usp=sharing"",""จัดที่ดิน!BR18"")"),0)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IFERROR(__xludf.DUMMYFUNCTION("IMPORTRANGE(""https://docs.google.com/spreadsheets/d/1XWAQStnk-4SwqDmLtmXYiTMKHgktTP8We1SCoS47DrQ/edit?usp=sharing"",""จัดที่ดิน!BS18"")"),0)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IFERROR(__xludf.DUMMYFUNCTION("IMPORTRANGE(""https://docs.google.com/spreadsheets/d/1QqKyyYR6Q21VydFLVH3TRQUabQu_ym0Zz7PgGX0-kHA/edit?usp=sharing"",""แผน!IO18"")"),0)</f>
        <v>0</v>
      </c>
      <c r="J728" s="270">
        <f ca="1">IFERROR(__xludf.DUMMYFUNCTION("IMPORTRANGE(""https://docs.google.com/spreadsheets/d/1XWAQStnk-4SwqDmLtmXYiTMKHgktTP8We1SCoS47DrQ/edit?usp=sharing"",""จัดที่ดิน!BT18"")"),0)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IFERROR(__xludf.DUMMYFUNCTION("IMPORTRANGE(""https://docs.google.com/spreadsheets/d/1QqKyyYR6Q21VydFLVH3TRQUabQu_ym0Zz7PgGX0-kHA/edit?usp=sharing"",""แผน!IP18"")"),105)</f>
        <v>105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892" t="s">
        <v>46</v>
      </c>
      <c r="I785" s="893">
        <f t="shared" ref="I785:J785" ca="1" si="318">I801+I803</f>
        <v>15000</v>
      </c>
      <c r="J785" s="893">
        <f t="shared" ca="1" si="318"/>
        <v>3769</v>
      </c>
      <c r="K785" s="894">
        <f ca="1">IF(I785&gt;0,J785*100/I785,0)</f>
        <v>25.126666666666665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895" t="s">
        <v>12</v>
      </c>
      <c r="I786" s="896"/>
      <c r="J786" s="896"/>
      <c r="K786" s="8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898" t="s">
        <v>12</v>
      </c>
      <c r="I787" s="896"/>
      <c r="J787" s="896"/>
      <c r="K787" s="89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898" t="s">
        <v>12</v>
      </c>
      <c r="I788" s="896"/>
      <c r="J788" s="896"/>
      <c r="K788" s="897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27"/>
      <c r="F789" s="727"/>
      <c r="G789" s="189"/>
      <c r="H789" s="899" t="s">
        <v>12</v>
      </c>
      <c r="I789" s="900"/>
      <c r="J789" s="900"/>
      <c r="K789" s="901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898" t="s">
        <v>12</v>
      </c>
      <c r="I790" s="896"/>
      <c r="J790" s="896"/>
      <c r="K790" s="89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898" t="s">
        <v>12</v>
      </c>
      <c r="I791" s="896"/>
      <c r="J791" s="896"/>
      <c r="K791" s="897"/>
      <c r="L791" s="93">
        <f ca="1">IFERROR(__xludf.DUMMYFUNCTION("IMPORTRANGE(""https://docs.google.com/spreadsheets/d/1QqKyyYR6Q21VydFLVH3TRQUabQu_ym0Zz7PgGX0-kHA/edit?usp=sharing"",""แผน!JJ18"")"),0)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27"/>
      <c r="D792" s="727"/>
      <c r="E792" s="727"/>
      <c r="F792" s="727" t="s">
        <v>186</v>
      </c>
      <c r="G792" s="189"/>
      <c r="H792" s="899" t="s">
        <v>12</v>
      </c>
      <c r="I792" s="896"/>
      <c r="J792" s="896"/>
      <c r="K792" s="897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27"/>
      <c r="D793" s="727"/>
      <c r="E793" s="727"/>
      <c r="F793" s="727" t="s">
        <v>187</v>
      </c>
      <c r="G793" s="189"/>
      <c r="H793" s="899" t="s">
        <v>12</v>
      </c>
      <c r="I793" s="896"/>
      <c r="J793" s="896"/>
      <c r="K793" s="897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27"/>
      <c r="D794" s="727"/>
      <c r="E794" s="727"/>
      <c r="F794" s="727" t="s">
        <v>188</v>
      </c>
      <c r="G794" s="189"/>
      <c r="H794" s="899" t="s">
        <v>12</v>
      </c>
      <c r="I794" s="896"/>
      <c r="J794" s="896"/>
      <c r="K794" s="897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27"/>
      <c r="D795" s="727"/>
      <c r="E795" s="727"/>
      <c r="F795" s="727" t="s">
        <v>189</v>
      </c>
      <c r="G795" s="189"/>
      <c r="H795" s="899" t="s">
        <v>12</v>
      </c>
      <c r="I795" s="896"/>
      <c r="J795" s="896"/>
      <c r="K795" s="897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27"/>
      <c r="D796" s="571" t="s">
        <v>21</v>
      </c>
      <c r="E796" s="727"/>
      <c r="F796" s="727"/>
      <c r="G796" s="189"/>
      <c r="H796" s="902" t="s">
        <v>12</v>
      </c>
      <c r="I796" s="900"/>
      <c r="J796" s="900"/>
      <c r="K796" s="901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898" t="s">
        <v>12</v>
      </c>
      <c r="I797" s="900"/>
      <c r="J797" s="900"/>
      <c r="K797" s="90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903" t="s">
        <v>12</v>
      </c>
      <c r="I798" s="900"/>
      <c r="J798" s="900"/>
      <c r="K798" s="90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904"/>
      <c r="I799" s="900"/>
      <c r="J799" s="900"/>
      <c r="K799" s="901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6"/>
      <c r="H800" s="905" t="s">
        <v>34</v>
      </c>
      <c r="I800" s="900"/>
      <c r="J800" s="906">
        <f ca="1">IFERROR(__xludf.DUMMYFUNCTION("IMPORTRANGE(""https://docs.google.com/spreadsheets/d/1MaWodYyGHDf7siQLGxnXhG4mBNTNIuy296niS2xXulU/edit?usp=sharing"",""RTK!H18"")"),0)</f>
        <v>0</v>
      </c>
      <c r="K800" s="897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6"/>
      <c r="H801" s="899" t="s">
        <v>46</v>
      </c>
      <c r="I801" s="906">
        <f ca="1">IFERROR(__xludf.DUMMYFUNCTION("IMPORTRANGE(""https://docs.google.com/spreadsheets/d/1MaWodYyGHDf7siQLGxnXhG4mBNTNIuy296niS2xXulU/edit?usp=sharing"",""RTK!G18"")"),0)</f>
        <v>0</v>
      </c>
      <c r="J801" s="907">
        <f ca="1">IFERROR(__xludf.DUMMYFUNCTION("IMPORTRANGE(""https://docs.google.com/spreadsheets/d/1MaWodYyGHDf7siQLGxnXhG4mBNTNIuy296niS2xXulU/edit?usp=sharing"",""RTK!I18"")"),0)</f>
        <v>0</v>
      </c>
      <c r="K801" s="908">
        <f ca="1">IF(I801&gt;0,J801*100/I801,0)</f>
        <v>0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4"/>
      <c r="F802" s="780" t="s">
        <v>321</v>
      </c>
      <c r="G802" s="582"/>
      <c r="H802" s="905" t="s">
        <v>34</v>
      </c>
      <c r="I802" s="900"/>
      <c r="J802" s="906">
        <f ca="1">IFERROR(__xludf.DUMMYFUNCTION("IMPORTRANGE(""https://docs.google.com/spreadsheets/d/1MaWodYyGHDf7siQLGxnXhG4mBNTNIuy296niS2xXulU/edit?usp=sharing"",""RTK!L18"")"),246)</f>
        <v>246</v>
      </c>
      <c r="K802" s="897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9.5" thickBot="1">
      <c r="A803" s="579"/>
      <c r="B803" s="581"/>
      <c r="C803" s="581"/>
      <c r="D803" s="581"/>
      <c r="E803" s="684"/>
      <c r="F803" s="684"/>
      <c r="G803" s="582"/>
      <c r="H803" s="905" t="s">
        <v>46</v>
      </c>
      <c r="I803" s="906">
        <f ca="1">IFERROR(__xludf.DUMMYFUNCTION("IMPORTRANGE(""https://docs.google.com/spreadsheets/d/1MaWodYyGHDf7siQLGxnXhG4mBNTNIuy296niS2xXulU/edit?usp=sharing"",""RTK!K18"")"),15000)</f>
        <v>15000</v>
      </c>
      <c r="J803" s="907">
        <f ca="1">IFERROR(__xludf.DUMMYFUNCTION("IMPORTRANGE(""https://docs.google.com/spreadsheets/d/1MaWodYyGHDf7siQLGxnXhG4mBNTNIuy296niS2xXulU/edit?usp=sharing"",""RTK!M18"")"),3769)</f>
        <v>3769</v>
      </c>
      <c r="K803" s="908">
        <f t="shared" ref="K803:K804" ca="1" si="327">IF(I803&gt;0,J803*100/I803,0)</f>
        <v>25.126666666666665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20.25" hidden="1" thickBot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27"/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20.25" hidden="1" thickBot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8">L806+L807</f>
        <v>0</v>
      </c>
      <c r="M805" s="613">
        <f t="shared" si="328"/>
        <v>0</v>
      </c>
      <c r="N805" s="613">
        <f t="shared" si="328"/>
        <v>0</v>
      </c>
      <c r="O805" s="613">
        <f t="shared" ref="O805:O810" si="329">IF(L805&gt;0,N805*100/L805,0)</f>
        <v>0</v>
      </c>
      <c r="P805" s="613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9.5" hidden="1" thickBot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9.5" hidden="1" thickBot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20.25" hidden="1" thickBot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2">L809+L810</f>
        <v>0</v>
      </c>
      <c r="M808" s="613">
        <f t="shared" si="332"/>
        <v>0</v>
      </c>
      <c r="N808" s="613">
        <f t="shared" si="332"/>
        <v>0</v>
      </c>
      <c r="O808" s="613">
        <f t="shared" si="329"/>
        <v>0</v>
      </c>
      <c r="P808" s="613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9.5" hidden="1" thickBot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9.5" hidden="1" thickBot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9.5" hidden="1" thickBot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9.5" hidden="1" thickBot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9.5" hidden="1" thickBot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9.5" hidden="1" thickBot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20.25" hidden="1" thickBot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3">L816+L817</f>
        <v>0</v>
      </c>
      <c r="M815" s="613">
        <f t="shared" si="333"/>
        <v>0</v>
      </c>
      <c r="N815" s="613">
        <f t="shared" si="333"/>
        <v>0</v>
      </c>
      <c r="O815" s="613">
        <f t="shared" ref="O815:O817" si="334">IF(L815&gt;0,N815*100/L815,0)</f>
        <v>0</v>
      </c>
      <c r="P815" s="613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9.5" hidden="1" thickBot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9.5" hidden="1" thickBot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20.25" hidden="1" thickBot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85" t="s">
        <v>332</v>
      </c>
      <c r="B820" s="886"/>
      <c r="C820" s="886"/>
      <c r="D820" s="887"/>
      <c r="E820" s="886"/>
      <c r="F820" s="886"/>
      <c r="G820" s="888"/>
      <c r="H820" s="889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90"/>
      <c r="J820" s="890"/>
      <c r="K820" s="891"/>
      <c r="L820" s="891"/>
      <c r="M820" s="891"/>
      <c r="N820" s="891"/>
      <c r="O820" s="891"/>
      <c r="P820" s="89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IFERROR(__xludf.DUMMYFUNCTION("IMPORTRANGE(""https://docs.google.com/spreadsheets/d/19vJNZY_5yjcGF2XGBMNZRCAIB0Kwfpjp8YEOfu-bneM/edit?usp=sharing"",""งานกองทุน!D18"")"),1260000)</f>
        <v>1260000</v>
      </c>
      <c r="J821" s="270">
        <f ca="1">IFERROR(__xludf.DUMMYFUNCTION("IMPORTRANGE(""https://docs.google.com/spreadsheets/d/19vJNZY_5yjcGF2XGBMNZRCAIB0Kwfpjp8YEOfu-bneM/edit?usp=sharing"",""งานกองทุน!F18"")"),152000.01)</f>
        <v>152000.01</v>
      </c>
      <c r="K821" s="466">
        <f t="shared" ref="K821:K828" ca="1" si="336">IF(I821&gt;0,J821*100/I821,0)</f>
        <v>12.063492857142856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IFERROR(__xludf.DUMMYFUNCTION("IMPORTRANGE(""https://docs.google.com/spreadsheets/d/19vJNZY_5yjcGF2XGBMNZRCAIB0Kwfpjp8YEOfu-bneM/edit?usp=sharing"",""งานกองทุน!C18"")"),63)</f>
        <v>63</v>
      </c>
      <c r="J822" s="270">
        <f ca="1">IFERROR(__xludf.DUMMYFUNCTION("IMPORTRANGE(""https://docs.google.com/spreadsheets/d/19vJNZY_5yjcGF2XGBMNZRCAIB0Kwfpjp8YEOfu-bneM/edit?usp=sharing"",""งานกองทุน!E18"")"),9)</f>
        <v>9</v>
      </c>
      <c r="K822" s="466">
        <f t="shared" ca="1" si="336"/>
        <v>14.285714285714286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270">
        <f ca="1">IFERROR(__xludf.DUMMYFUNCTION("IMPORTRANGE(""https://docs.google.com/spreadsheets/d/19vJNZY_5yjcGF2XGBMNZRCAIB0Kwfpjp8YEOfu-bneM/edit?usp=sharing"",""งานกองทุน!K18"")"),122518.36)</f>
        <v>122518.36</v>
      </c>
      <c r="K823" s="466">
        <f t="shared" ca="1" si="336"/>
        <v>2.5568283684697772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IFERROR(__xludf.DUMMYFUNCTION("IMPORTRANGE(""https://docs.google.com/spreadsheets/d/19vJNZY_5yjcGF2XGBMNZRCAIB0Kwfpjp8YEOfu-bneM/edit?usp=sharing"",""งานกองทุน!H18"")"),261)</f>
        <v>261</v>
      </c>
      <c r="J824" s="270">
        <f ca="1">IFERROR(__xludf.DUMMYFUNCTION("IMPORTRANGE(""https://docs.google.com/spreadsheets/d/19vJNZY_5yjcGF2XGBMNZRCAIB0Kwfpjp8YEOfu-bneM/edit?usp=sharing"",""งานกองทุน!J18"")"),13)</f>
        <v>13</v>
      </c>
      <c r="K824" s="466">
        <f t="shared" ca="1" si="336"/>
        <v>4.9808429118773949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270">
        <f ca="1">IFERROR(__xludf.DUMMYFUNCTION("IMPORTRANGE(""https://docs.google.com/spreadsheets/d/19vJNZY_5yjcGF2XGBMNZRCAIB0Kwfpjp8YEOfu-bneM/edit?usp=sharing"",""งานกองทุน!P18"")"),4964559.9)</f>
        <v>4964559.9000000004</v>
      </c>
      <c r="K825" s="466">
        <f t="shared" ca="1" si="336"/>
        <v>11.114271555351445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IFERROR(__xludf.DUMMYFUNCTION("IMPORTRANGE(""https://docs.google.com/spreadsheets/d/19vJNZY_5yjcGF2XGBMNZRCAIB0Kwfpjp8YEOfu-bneM/edit?usp=sharing"",""งานกองทุน!M18"")"),3484)</f>
        <v>3484</v>
      </c>
      <c r="J826" s="270">
        <f ca="1">IFERROR(__xludf.DUMMYFUNCTION("IMPORTRANGE(""https://docs.google.com/spreadsheets/d/19vJNZY_5yjcGF2XGBMNZRCAIB0Kwfpjp8YEOfu-bneM/edit?usp=sharing"",""งานกองทุน!O18"")"),579)</f>
        <v>579</v>
      </c>
      <c r="K826" s="466">
        <f t="shared" ca="1" si="336"/>
        <v>16.618828932261767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IFERROR(__xludf.DUMMYFUNCTION("IMPORTRANGE(""https://docs.google.com/spreadsheets/d/19vJNZY_5yjcGF2XGBMNZRCAIB0Kwfpjp8YEOfu-bneM/edit?usp=sharing"",""งานกองทุน!S18"")"),1930000)</f>
        <v>1930000</v>
      </c>
      <c r="J827" s="270">
        <f ca="1">IFERROR(__xludf.DUMMYFUNCTION("IMPORTRANGE(""https://docs.google.com/spreadsheets/d/19vJNZY_5yjcGF2XGBMNZRCAIB0Kwfpjp8YEOfu-bneM/edit?usp=sharing"",""งานกองทุน!U18"")"),0)</f>
        <v>0</v>
      </c>
      <c r="K827" s="466">
        <f t="shared" ca="1" si="336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IFERROR(__xludf.DUMMYFUNCTION("IMPORTRANGE(""https://docs.google.com/spreadsheets/d/19vJNZY_5yjcGF2XGBMNZRCAIB0Kwfpjp8YEOfu-bneM/edit?usp=sharing"",""งานกองทุน!R18"")"),77)</f>
        <v>77</v>
      </c>
      <c r="J828" s="469">
        <f ca="1">IFERROR(__xludf.DUMMYFUNCTION("IMPORTRANGE(""https://docs.google.com/spreadsheets/d/19vJNZY_5yjcGF2XGBMNZRCAIB0Kwfpjp8YEOfu-bneM/edit?usp=sharing"",""งานกองทุน!T18"")"),0)</f>
        <v>0</v>
      </c>
      <c r="K828" s="470">
        <f t="shared" ca="1" si="336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2B0E-0EB2-4EBB-A05D-4CD05D8B00A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6.85546875" style="801" bestFit="1" customWidth="1"/>
    <col min="10" max="10" width="14.4257812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338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7978662</v>
      </c>
      <c r="M8" s="22">
        <f t="shared" ca="1" si="0"/>
        <v>4389230</v>
      </c>
      <c r="N8" s="22">
        <f t="shared" ca="1" si="0"/>
        <v>3637040.73</v>
      </c>
      <c r="O8" s="22">
        <f t="shared" ref="O8:O16" ca="1" si="1">IF(L8&gt;0,N8*100/L8,0)</f>
        <v>45.584594635040311</v>
      </c>
      <c r="P8" s="22">
        <f t="shared" ref="P8:P16" ca="1" si="2">IF(M8&gt;0,N8*100/M8,0)</f>
        <v>82.862842229730504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7978662</v>
      </c>
      <c r="M10" s="30">
        <f t="shared" ca="1" si="3"/>
        <v>4389230</v>
      </c>
      <c r="N10" s="30">
        <f t="shared" ca="1" si="3"/>
        <v>3637040.73</v>
      </c>
      <c r="O10" s="30">
        <f t="shared" ca="1" si="1"/>
        <v>45.584594635040311</v>
      </c>
      <c r="P10" s="30">
        <f t="shared" ca="1" si="2"/>
        <v>82.862842229730504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5584062</v>
      </c>
      <c r="M11" s="466">
        <f t="shared" ca="1" si="4"/>
        <v>1994630</v>
      </c>
      <c r="N11" s="466">
        <f t="shared" ca="1" si="4"/>
        <v>1542140.73</v>
      </c>
      <c r="O11" s="466">
        <f t="shared" ca="1" si="1"/>
        <v>27.616826783083713</v>
      </c>
      <c r="P11" s="466">
        <f t="shared" ca="1" si="2"/>
        <v>77.314626271539083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5584062</v>
      </c>
      <c r="M13" s="93">
        <f t="shared" ca="1" si="5"/>
        <v>1994630</v>
      </c>
      <c r="N13" s="93">
        <f t="shared" ca="1" si="5"/>
        <v>1542140.73</v>
      </c>
      <c r="O13" s="93">
        <f t="shared" ca="1" si="1"/>
        <v>27.616826783083713</v>
      </c>
      <c r="P13" s="93">
        <f t="shared" ca="1" si="2"/>
        <v>77.314626271539083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2394600</v>
      </c>
      <c r="M14" s="466">
        <f t="shared" ca="1" si="6"/>
        <v>2394600</v>
      </c>
      <c r="N14" s="466">
        <f t="shared" ca="1" si="6"/>
        <v>2094900</v>
      </c>
      <c r="O14" s="466">
        <f t="shared" ca="1" si="1"/>
        <v>87.484339764470064</v>
      </c>
      <c r="P14" s="466">
        <f t="shared" ca="1" si="2"/>
        <v>87.484339764470064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2394600</v>
      </c>
      <c r="M16" s="52">
        <f t="shared" ca="1" si="7"/>
        <v>2394600</v>
      </c>
      <c r="N16" s="52">
        <f t="shared" ca="1" si="7"/>
        <v>2094900</v>
      </c>
      <c r="O16" s="52">
        <f t="shared" ca="1" si="1"/>
        <v>87.484339764470064</v>
      </c>
      <c r="P16" s="52">
        <f t="shared" ca="1" si="2"/>
        <v>87.484339764470064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6257790</v>
      </c>
      <c r="M18" s="22">
        <f t="shared" ca="1" si="8"/>
        <v>4389230</v>
      </c>
      <c r="N18" s="22">
        <f t="shared" ca="1" si="8"/>
        <v>3336952.73</v>
      </c>
      <c r="O18" s="22">
        <f t="shared" ref="O18:O26" ca="1" si="9">IF(L18&gt;0,N18*100/L18,0)</f>
        <v>53.324779674613559</v>
      </c>
      <c r="P18" s="22">
        <f t="shared" ref="P18:P26" ca="1" si="10">IF(M18&gt;0,N18*100/M18,0)</f>
        <v>76.025925504017792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6257790</v>
      </c>
      <c r="M20" s="30">
        <f t="shared" ca="1" si="11"/>
        <v>4389230</v>
      </c>
      <c r="N20" s="30">
        <f t="shared" ca="1" si="11"/>
        <v>3336952.73</v>
      </c>
      <c r="O20" s="30">
        <f t="shared" ca="1" si="9"/>
        <v>53.324779674613559</v>
      </c>
      <c r="P20" s="30">
        <f t="shared" ca="1" si="10"/>
        <v>76.025925504017792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3863190</v>
      </c>
      <c r="M21" s="466">
        <f t="shared" ca="1" si="12"/>
        <v>1994630</v>
      </c>
      <c r="N21" s="466">
        <f t="shared" ca="1" si="12"/>
        <v>1242052.73</v>
      </c>
      <c r="O21" s="466">
        <f t="shared" ca="1" si="9"/>
        <v>32.150961511082812</v>
      </c>
      <c r="P21" s="466">
        <f t="shared" ca="1" si="10"/>
        <v>62.269830996224862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3863190</v>
      </c>
      <c r="M23" s="93">
        <f t="shared" ca="1" si="13"/>
        <v>1994630</v>
      </c>
      <c r="N23" s="93">
        <f t="shared" ca="1" si="13"/>
        <v>1242052.73</v>
      </c>
      <c r="O23" s="93">
        <f t="shared" ca="1" si="9"/>
        <v>32.150961511082812</v>
      </c>
      <c r="P23" s="93">
        <f t="shared" ca="1" si="10"/>
        <v>62.269830996224862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2394600</v>
      </c>
      <c r="M24" s="466">
        <f t="shared" ca="1" si="14"/>
        <v>2394600</v>
      </c>
      <c r="N24" s="466">
        <f t="shared" ca="1" si="14"/>
        <v>2094900</v>
      </c>
      <c r="O24" s="466">
        <f t="shared" ca="1" si="9"/>
        <v>87.484339764470064</v>
      </c>
      <c r="P24" s="466">
        <f t="shared" ca="1" si="10"/>
        <v>87.484339764470064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2394600</v>
      </c>
      <c r="M26" s="52">
        <f t="shared" ca="1" si="15"/>
        <v>2394600</v>
      </c>
      <c r="N26" s="52">
        <f t="shared" ca="1" si="15"/>
        <v>2094900</v>
      </c>
      <c r="O26" s="52">
        <f t="shared" ca="1" si="9"/>
        <v>87.484339764470064</v>
      </c>
      <c r="P26" s="52">
        <f t="shared" ca="1" si="10"/>
        <v>87.484339764470064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1720872</v>
      </c>
      <c r="M28" s="22">
        <f t="shared" si="16"/>
        <v>0</v>
      </c>
      <c r="N28" s="22">
        <f t="shared" si="16"/>
        <v>300088</v>
      </c>
      <c r="O28" s="22">
        <f t="shared" ref="O28:O37" ca="1" si="17">IF(L28&gt;0,N28*100/L28,0)</f>
        <v>17.438136014764609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1720872</v>
      </c>
      <c r="M30" s="30">
        <f t="shared" si="19"/>
        <v>0</v>
      </c>
      <c r="N30" s="30">
        <f t="shared" si="19"/>
        <v>300088</v>
      </c>
      <c r="O30" s="30">
        <f t="shared" ca="1" si="17"/>
        <v>17.438136014764609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1720872</v>
      </c>
      <c r="M31" s="466">
        <f t="shared" si="20"/>
        <v>0</v>
      </c>
      <c r="N31" s="466">
        <f t="shared" si="20"/>
        <v>300088</v>
      </c>
      <c r="O31" s="466">
        <f t="shared" ca="1" si="17"/>
        <v>17.438136014764609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1720872</v>
      </c>
      <c r="M33" s="93">
        <f t="shared" si="21"/>
        <v>0</v>
      </c>
      <c r="N33" s="93">
        <f t="shared" si="21"/>
        <v>300088</v>
      </c>
      <c r="O33" s="93">
        <f t="shared" ca="1" si="17"/>
        <v>17.438136014764609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6257790</v>
      </c>
      <c r="M37" s="832">
        <f t="shared" ca="1" si="24"/>
        <v>4389230</v>
      </c>
      <c r="N37" s="832">
        <f t="shared" ca="1" si="24"/>
        <v>3336952.73</v>
      </c>
      <c r="O37" s="832">
        <f t="shared" ca="1" si="17"/>
        <v>53.324779674613559</v>
      </c>
      <c r="P37" s="832">
        <f t="shared" ca="1" si="18"/>
        <v>76.025925504017792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591050</v>
      </c>
      <c r="M41" s="85">
        <f t="shared" ca="1" si="25"/>
        <v>298450</v>
      </c>
      <c r="N41" s="85">
        <f t="shared" ca="1" si="25"/>
        <v>246480</v>
      </c>
      <c r="O41" s="85">
        <f t="shared" ref="O41:O49" ca="1" si="26">IF(L41&gt;0,N41*100/L41,0)</f>
        <v>41.702055663649439</v>
      </c>
      <c r="P41" s="85">
        <f t="shared" ref="P41:P49" ca="1" si="27">IF(M41&gt;0,N41*100/M41,0)</f>
        <v>82.586697939353328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591050</v>
      </c>
      <c r="M43" s="92">
        <f t="shared" ca="1" si="28"/>
        <v>298450</v>
      </c>
      <c r="N43" s="92">
        <f t="shared" ca="1" si="28"/>
        <v>246480</v>
      </c>
      <c r="O43" s="92">
        <f t="shared" ca="1" si="26"/>
        <v>41.702055663649439</v>
      </c>
      <c r="P43" s="92">
        <f t="shared" ca="1" si="27"/>
        <v>82.586697939353328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591050</v>
      </c>
      <c r="M44" s="466">
        <f t="shared" ca="1" si="29"/>
        <v>298450</v>
      </c>
      <c r="N44" s="466">
        <f t="shared" ca="1" si="29"/>
        <v>246480</v>
      </c>
      <c r="O44" s="466">
        <f t="shared" ca="1" si="26"/>
        <v>41.702055663649439</v>
      </c>
      <c r="P44" s="466">
        <f t="shared" ca="1" si="27"/>
        <v>82.586697939353328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IFERROR(__xludf.DUMMYFUNCTION("IMPORTRANGE(""https://docs.google.com/spreadsheets/d/1MeEWN-I1oV_STSDYn1IFDPWt_1FKiwhDph83XaGc0o0/edit?usp=sharing"",""งบพรบ!M19"")"),591050)</f>
        <v>591050</v>
      </c>
      <c r="M46" s="93">
        <f ca="1">IFERROR(__xludf.DUMMYFUNCTION("IMPORTRANGE(""https://docs.google.com/spreadsheets/d/1MeEWN-I1oV_STSDYn1IFDPWt_1FKiwhDph83XaGc0o0/edit?usp=sharing"",""งบพรบ!R19"")"),298450)</f>
        <v>298450</v>
      </c>
      <c r="N46" s="93">
        <f ca="1">IFERROR(__xludf.DUMMYFUNCTION("IMPORTRANGE(""https://docs.google.com/spreadsheets/d/1MeEWN-I1oV_STSDYn1IFDPWt_1FKiwhDph83XaGc0o0/edit?usp=sharing"",""งบพรบ!T19"")"),246480)</f>
        <v>246480</v>
      </c>
      <c r="O46" s="93">
        <f t="shared" ca="1" si="26"/>
        <v>41.702055663649439</v>
      </c>
      <c r="P46" s="93">
        <f t="shared" ca="1" si="27"/>
        <v>82.586697939353328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IFERROR(__xludf.DUMMYFUNCTION("IMPORTRANGE(""https://docs.google.com/spreadsheets/d/1MeEWN-I1oV_STSDYn1IFDPWt_1FKiwhDph83XaGc0o0/edit?usp=sharing"",""งบพรบ!P19"")"),0)</f>
        <v>0</v>
      </c>
      <c r="M49" s="52">
        <f ca="1">IFERROR(__xludf.DUMMYFUNCTION("IMPORTRANGE(""https://docs.google.com/spreadsheets/d/1MeEWN-I1oV_STSDYn1IFDPWt_1FKiwhDph83XaGc0o0/edit?usp=sharing"",""งบพรบ!S19"")"),0)</f>
        <v>0</v>
      </c>
      <c r="N49" s="52">
        <f ca="1">IFERROR(__xludf.DUMMYFUNCTION("IMPORTRANGE(""https://docs.google.com/spreadsheets/d/1MeEWN-I1oV_STSDYn1IFDPWt_1FKiwhDph83XaGc0o0/edit?usp=sharing"",""งบพรบ!U19"")"),0)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742600</v>
      </c>
      <c r="M53" s="116">
        <f t="shared" ca="1" si="31"/>
        <v>371300</v>
      </c>
      <c r="N53" s="116">
        <f t="shared" ca="1" si="31"/>
        <v>310022.03999999998</v>
      </c>
      <c r="O53" s="116">
        <f t="shared" ref="O53:O61" ca="1" si="32">IF(L53&gt;0,N53*100/L53,0)</f>
        <v>41.748187449501742</v>
      </c>
      <c r="P53" s="116">
        <f t="shared" ref="P53:P61" ca="1" si="33">IF(M53&gt;0,N53*100/M53,0)</f>
        <v>83.496374899003484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742600</v>
      </c>
      <c r="M55" s="123">
        <f t="shared" ca="1" si="34"/>
        <v>371300</v>
      </c>
      <c r="N55" s="123">
        <f t="shared" ca="1" si="34"/>
        <v>310022.03999999998</v>
      </c>
      <c r="O55" s="123">
        <f t="shared" ca="1" si="32"/>
        <v>41.748187449501742</v>
      </c>
      <c r="P55" s="123">
        <f t="shared" ca="1" si="33"/>
        <v>83.496374899003484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742600</v>
      </c>
      <c r="M56" s="466">
        <f t="shared" ca="1" si="35"/>
        <v>371300</v>
      </c>
      <c r="N56" s="466">
        <f t="shared" ca="1" si="35"/>
        <v>310022.03999999998</v>
      </c>
      <c r="O56" s="466">
        <f t="shared" ca="1" si="32"/>
        <v>41.748187449501742</v>
      </c>
      <c r="P56" s="466">
        <f t="shared" ca="1" si="33"/>
        <v>83.496374899003484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IFERROR(__xludf.DUMMYFUNCTION("IMPORTRANGE(""https://docs.google.com/spreadsheets/d/1MeEWN-I1oV_STSDYn1IFDPWt_1FKiwhDph83XaGc0o0/edit?usp=sharing"",""งบพรบ!W19"")"),742600)</f>
        <v>742600</v>
      </c>
      <c r="M58" s="93">
        <f ca="1">IFERROR(__xludf.DUMMYFUNCTION("IMPORTRANGE(""https://docs.google.com/spreadsheets/d/1MeEWN-I1oV_STSDYn1IFDPWt_1FKiwhDph83XaGc0o0/edit?usp=sharing"",""งบพรบ!AB19"")"),371300)</f>
        <v>371300</v>
      </c>
      <c r="N58" s="93">
        <f ca="1">IFERROR(__xludf.DUMMYFUNCTION("IMPORTRANGE(""https://docs.google.com/spreadsheets/d/1MeEWN-I1oV_STSDYn1IFDPWt_1FKiwhDph83XaGc0o0/edit?usp=sharing"",""งบพรบ!AD19"")"),310022.04)</f>
        <v>310022.03999999998</v>
      </c>
      <c r="O58" s="93">
        <f t="shared" ca="1" si="32"/>
        <v>41.748187449501742</v>
      </c>
      <c r="P58" s="93">
        <f t="shared" ca="1" si="33"/>
        <v>83.496374899003484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IFERROR(__xludf.DUMMYFUNCTION("IMPORTRANGE(""https://docs.google.com/spreadsheets/d/1MeEWN-I1oV_STSDYn1IFDPWt_1FKiwhDph83XaGc0o0/edit?usp=sharing"",""งบพรบ!Z19"")"),0)</f>
        <v>0</v>
      </c>
      <c r="M61" s="52">
        <f ca="1">IFERROR(__xludf.DUMMYFUNCTION("IMPORTRANGE(""https://docs.google.com/spreadsheets/d/1MeEWN-I1oV_STSDYn1IFDPWt_1FKiwhDph83XaGc0o0/edit?usp=sharing"",""งบพรบ!AC19"")"),0)</f>
        <v>0</v>
      </c>
      <c r="N61" s="52">
        <f ca="1">IFERROR(__xludf.DUMMYFUNCTION("IMPORTRANGE(""https://docs.google.com/spreadsheets/d/1MeEWN-I1oV_STSDYn1IFDPWt_1FKiwhDph83XaGc0o0/edit?usp=sharing"",""งบพรบ!AE19"")"),0)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440000</v>
      </c>
      <c r="M66" s="155">
        <f t="shared" ca="1" si="39"/>
        <v>213000</v>
      </c>
      <c r="N66" s="155">
        <f t="shared" ca="1" si="39"/>
        <v>86866</v>
      </c>
      <c r="O66" s="155">
        <f t="shared" ref="O66:O74" ca="1" si="40">IF(L66&gt;0,N66*100/L66,0)</f>
        <v>19.742272727272727</v>
      </c>
      <c r="P66" s="155">
        <f t="shared" ref="P66:P74" ca="1" si="41">IF(M66&gt;0,N66*100/M66,0)</f>
        <v>40.782159624413147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440000</v>
      </c>
      <c r="M68" s="93">
        <f t="shared" ca="1" si="42"/>
        <v>213000</v>
      </c>
      <c r="N68" s="93">
        <f t="shared" ca="1" si="42"/>
        <v>86866</v>
      </c>
      <c r="O68" s="93">
        <f t="shared" ca="1" si="40"/>
        <v>19.742272727272727</v>
      </c>
      <c r="P68" s="93">
        <f t="shared" ca="1" si="41"/>
        <v>40.782159624413147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440000</v>
      </c>
      <c r="M69" s="466">
        <f t="shared" ca="1" si="43"/>
        <v>213000</v>
      </c>
      <c r="N69" s="466">
        <f t="shared" ca="1" si="43"/>
        <v>86866</v>
      </c>
      <c r="O69" s="466">
        <f t="shared" ca="1" si="40"/>
        <v>19.742272727272727</v>
      </c>
      <c r="P69" s="466">
        <f t="shared" ca="1" si="41"/>
        <v>40.782159624413147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IFERROR(__xludf.DUMMYFUNCTION("IMPORTRANGE(""https://docs.google.com/spreadsheets/d/1MeEWN-I1oV_STSDYn1IFDPWt_1FKiwhDph83XaGc0o0/edit?usp=sharing"",""งบพรบ!AG19"")"),440000)</f>
        <v>440000</v>
      </c>
      <c r="M71" s="93">
        <f ca="1">IFERROR(__xludf.DUMMYFUNCTION("IMPORTRANGE(""https://docs.google.com/spreadsheets/d/1MeEWN-I1oV_STSDYn1IFDPWt_1FKiwhDph83XaGc0o0/edit?usp=sharing"",""งบพรบ!AL19"")"),213000)</f>
        <v>213000</v>
      </c>
      <c r="N71" s="93">
        <f ca="1">IFERROR(__xludf.DUMMYFUNCTION("IMPORTRANGE(""https://docs.google.com/spreadsheets/d/1MeEWN-I1oV_STSDYn1IFDPWt_1FKiwhDph83XaGc0o0/edit?usp=sharing"",""งบพรบ!AN19"")"),86866)</f>
        <v>86866</v>
      </c>
      <c r="O71" s="93">
        <f t="shared" ca="1" si="40"/>
        <v>19.742272727272727</v>
      </c>
      <c r="P71" s="93">
        <f t="shared" ca="1" si="41"/>
        <v>40.782159624413147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IFERROR(__xludf.DUMMYFUNCTION("IMPORTRANGE(""https://docs.google.com/spreadsheets/d/1MeEWN-I1oV_STSDYn1IFDPWt_1FKiwhDph83XaGc0o0/edit?usp=sharing"",""งบพรบ!AJ19"")"),0)</f>
        <v>0</v>
      </c>
      <c r="M74" s="93">
        <f ca="1">IFERROR(__xludf.DUMMYFUNCTION("IMPORTRANGE(""https://docs.google.com/spreadsheets/d/1MeEWN-I1oV_STSDYn1IFDPWt_1FKiwhDph83XaGc0o0/edit?usp=sharing"",""งบพรบ!AM19"")"),0)</f>
        <v>0</v>
      </c>
      <c r="N74" s="93">
        <f ca="1">IFERROR(__xludf.DUMMYFUNCTION("IMPORTRANGE(""https://docs.google.com/spreadsheets/d/1MeEWN-I1oV_STSDYn1IFDPWt_1FKiwhDph83XaGc0o0/edit?usp=sharing"",""งบพรบ!AO19"")"),0)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IFERROR(__xludf.DUMMYFUNCTION("IMPORTRANGE(""https://docs.google.com/spreadsheets/d/1QqKyyYR6Q21VydFLVH3TRQUabQu_ym0Zz7PgGX0-kHA/edit?usp=sharing"",""แผน!I19"")"),40)</f>
        <v>40</v>
      </c>
      <c r="J79" s="215">
        <v>40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IFERROR(__xludf.DUMMYFUNCTION("IMPORTRANGE(""https://docs.google.com/spreadsheets/d/1QqKyyYR6Q21VydFLVH3TRQUabQu_ym0Zz7PgGX0-kHA/edit?usp=sharing"",""แผน!J19"")"),1)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150</v>
      </c>
      <c r="J86" s="144">
        <f t="shared" si="47"/>
        <v>150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50</v>
      </c>
      <c r="J87" s="144">
        <f t="shared" si="47"/>
        <v>50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269500</v>
      </c>
      <c r="M88" s="155">
        <f t="shared" ca="1" si="49"/>
        <v>176500</v>
      </c>
      <c r="N88" s="155">
        <f t="shared" ca="1" si="49"/>
        <v>73540</v>
      </c>
      <c r="O88" s="155">
        <f t="shared" ref="O88:O96" ca="1" si="50">IF(L88&gt;0,N88*100/L88,0)</f>
        <v>27.287569573283857</v>
      </c>
      <c r="P88" s="155">
        <f t="shared" ref="P88:P96" ca="1" si="51">IF(M88&gt;0,N88*100/M88,0)</f>
        <v>41.665722379603402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269500</v>
      </c>
      <c r="M90" s="93">
        <f t="shared" ca="1" si="52"/>
        <v>176500</v>
      </c>
      <c r="N90" s="93">
        <f t="shared" ca="1" si="52"/>
        <v>73540</v>
      </c>
      <c r="O90" s="93">
        <f t="shared" ca="1" si="50"/>
        <v>27.287569573283857</v>
      </c>
      <c r="P90" s="93">
        <f t="shared" ca="1" si="51"/>
        <v>41.665722379603402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269500</v>
      </c>
      <c r="M91" s="466">
        <f t="shared" ca="1" si="53"/>
        <v>176500</v>
      </c>
      <c r="N91" s="466">
        <f t="shared" ca="1" si="53"/>
        <v>73540</v>
      </c>
      <c r="O91" s="466">
        <f t="shared" ca="1" si="50"/>
        <v>27.287569573283857</v>
      </c>
      <c r="P91" s="466">
        <f t="shared" ca="1" si="51"/>
        <v>41.665722379603402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IFERROR(__xludf.DUMMYFUNCTION("IMPORTRANGE(""https://docs.google.com/spreadsheets/d/1MeEWN-I1oV_STSDYn1IFDPWt_1FKiwhDph83XaGc0o0/edit?usp=sharing"",""งบพรบ!AQ19"")"),269500)</f>
        <v>269500</v>
      </c>
      <c r="M93" s="93">
        <f ca="1">IFERROR(__xludf.DUMMYFUNCTION("IMPORTRANGE(""https://docs.google.com/spreadsheets/d/1MeEWN-I1oV_STSDYn1IFDPWt_1FKiwhDph83XaGc0o0/edit?usp=sharing"",""งบพรบ!AV19"")"),176500)</f>
        <v>176500</v>
      </c>
      <c r="N93" s="93">
        <f ca="1">IFERROR(__xludf.DUMMYFUNCTION("IMPORTRANGE(""https://docs.google.com/spreadsheets/d/1MeEWN-I1oV_STSDYn1IFDPWt_1FKiwhDph83XaGc0o0/edit?usp=sharing"",""งบพรบ!AX19"")"),73540)</f>
        <v>73540</v>
      </c>
      <c r="O93" s="93">
        <f t="shared" ca="1" si="50"/>
        <v>27.287569573283857</v>
      </c>
      <c r="P93" s="93">
        <f t="shared" ca="1" si="51"/>
        <v>41.665722379603402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IFERROR(__xludf.DUMMYFUNCTION("IMPORTRANGE(""https://docs.google.com/spreadsheets/d/1MeEWN-I1oV_STSDYn1IFDPWt_1FKiwhDph83XaGc0o0/edit?usp=sharing"",""งบพรบ!AT19"")"),0)</f>
        <v>0</v>
      </c>
      <c r="M96" s="93">
        <f ca="1">IFERROR(__xludf.DUMMYFUNCTION("IMPORTRANGE(""https://docs.google.com/spreadsheets/d/1MeEWN-I1oV_STSDYn1IFDPWt_1FKiwhDph83XaGc0o0/edit?usp=sharing"",""งบพรบ!AW19"")"),0)</f>
        <v>0</v>
      </c>
      <c r="N96" s="93">
        <f ca="1">IFERROR(__xludf.DUMMYFUNCTION("IMPORTRANGE(""https://docs.google.com/spreadsheets/d/1MeEWN-I1oV_STSDYn1IFDPWt_1FKiwhDph83XaGc0o0/edit?usp=sharing"",""งบพรบ!AY19"")"),0)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IFERROR(__xludf.DUMMYFUNCTION("IMPORTRANGE(""https://docs.google.com/spreadsheets/d/1QqKyyYR6Q21VydFLVH3TRQUabQu_ym0Zz7PgGX0-kHA/edit?usp=sharing"",""แผน!K19"")"),150)</f>
        <v>150</v>
      </c>
      <c r="J98" s="270">
        <f>J102</f>
        <v>150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IFERROR(__xludf.DUMMYFUNCTION("IMPORTRANGE(""https://docs.google.com/spreadsheets/d/1QqKyyYR6Q21VydFLVH3TRQUabQu_ym0Zz7PgGX0-kHA/edit?usp=sharing"",""แผน!L19"")"),50)</f>
        <v>50</v>
      </c>
      <c r="J99" s="270">
        <f>J104</f>
        <v>50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IFERROR(__xludf.DUMMYFUNCTION("IMPORTRANGE(""https://docs.google.com/spreadsheets/d/1QqKyyYR6Q21VydFLVH3TRQUabQu_ym0Zz7PgGX0-kHA/edit?usp=sharing"",""แผน!M19"")"),0)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IFERROR(__xludf.DUMMYFUNCTION("IMPORTRANGE(""https://docs.google.com/spreadsheets/d/1QqKyyYR6Q21VydFLVH3TRQUabQu_ym0Zz7PgGX0-kHA/edit?usp=sharing"",""แผน!N19"")"),150)</f>
        <v>150</v>
      </c>
      <c r="J102" s="215">
        <v>150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IFERROR(__xludf.DUMMYFUNCTION("IMPORTRANGE(""https://docs.google.com/spreadsheets/d/1QqKyyYR6Q21VydFLVH3TRQUabQu_ym0Zz7PgGX0-kHA/edit?usp=sharing"",""แผน!O19"")"),50)</f>
        <v>50</v>
      </c>
      <c r="J103" s="215">
        <v>50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IFERROR(__xludf.DUMMYFUNCTION("IMPORTRANGE(""https://docs.google.com/spreadsheets/d/1QqKyyYR6Q21VydFLVH3TRQUabQu_ym0Zz7PgGX0-kHA/edit?usp=sharing"",""แผน!O19"")"),50)</f>
        <v>50</v>
      </c>
      <c r="J104" s="215">
        <v>50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IFERROR(__xludf.DUMMYFUNCTION("IMPORTRANGE(""https://docs.google.com/spreadsheets/d/1QqKyyYR6Q21VydFLVH3TRQUabQu_ym0Zz7PgGX0-kHA/edit?usp=sharing"",""แผน!P19"")"),0)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IFERROR(__xludf.DUMMYFUNCTION("IMPORTRANGE(""https://docs.google.com/spreadsheets/d/1QqKyyYR6Q21VydFLVH3TRQUabQu_ym0Zz7PgGX0-kHA/edit?usp=sharing"",""แผน!P19"")"),0)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IFERROR(__xludf.DUMMYFUNCTION("IMPORTRANGE(""https://docs.google.com/spreadsheets/d/1QqKyyYR6Q21VydFLVH3TRQUabQu_ym0Zz7PgGX0-kHA/edit?usp=sharing"",""แผน!Q19"")"),0)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IFERROR(__xludf.DUMMYFUNCTION("IMPORTRANGE(""https://docs.google.com/spreadsheets/d/1QqKyyYR6Q21VydFLVH3TRQUabQu_ym0Zz7PgGX0-kHA/edit?usp=sharing"",""แผน!Q19"")"),0)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IFERROR(__xludf.DUMMYFUNCTION("IMPORTRANGE(""https://docs.google.com/spreadsheets/d/1QqKyyYR6Q21VydFLVH3TRQUabQu_ym0Zz7PgGX0-kHA/edit?usp=sharing"",""แผน!R19"")"),50)</f>
        <v>50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IFERROR(__xludf.DUMMYFUNCTION("IMPORTRANGE(""https://docs.google.com/spreadsheets/d/1QqKyyYR6Q21VydFLVH3TRQUabQu_ym0Zz7PgGX0-kHA/edit?usp=sharing"",""แผน!R19"")"),50)</f>
        <v>50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IFERROR(__xludf.DUMMYFUNCTION("IMPORTRANGE(""https://docs.google.com/spreadsheets/d/1QqKyyYR6Q21VydFLVH3TRQUabQu_ym0Zz7PgGX0-kHA/edit?usp=sharing"",""แผน!R19"")"),50)</f>
        <v>50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IFERROR(__xludf.DUMMYFUNCTION("IMPORTRANGE(""https://docs.google.com/spreadsheets/d/1QqKyyYR6Q21VydFLVH3TRQUabQu_ym0Zz7PgGX0-kHA/edit?usp=sharing"",""แผน!S19"")"),0)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IFERROR(__xludf.DUMMYFUNCTION("IMPORTRANGE(""https://docs.google.com/spreadsheets/d/1QqKyyYR6Q21VydFLVH3TRQUabQu_ym0Zz7PgGX0-kHA/edit?usp=sharing"",""แผน!T19"")"),0)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2067000</v>
      </c>
      <c r="M119" s="155">
        <f t="shared" ca="1" si="60"/>
        <v>2067000</v>
      </c>
      <c r="N119" s="155">
        <f t="shared" ca="1" si="60"/>
        <v>1891300</v>
      </c>
      <c r="O119" s="155">
        <f t="shared" ref="O119:O127" ca="1" si="61">IF(L119&gt;0,N119*100/L119,0)</f>
        <v>91.49975810353169</v>
      </c>
      <c r="P119" s="155">
        <f t="shared" ref="P119:P127" ca="1" si="62">IF(M119&gt;0,N119*100/M119,0)</f>
        <v>91.49975810353169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2067000</v>
      </c>
      <c r="M121" s="93">
        <f t="shared" ca="1" si="63"/>
        <v>2067000</v>
      </c>
      <c r="N121" s="93">
        <f t="shared" ca="1" si="63"/>
        <v>1891300</v>
      </c>
      <c r="O121" s="93">
        <f t="shared" ca="1" si="61"/>
        <v>91.49975810353169</v>
      </c>
      <c r="P121" s="93">
        <f t="shared" ca="1" si="62"/>
        <v>91.49975810353169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IFERROR(__xludf.DUMMYFUNCTION("IMPORTRANGE(""https://docs.google.com/spreadsheets/d/1MeEWN-I1oV_STSDYn1IFDPWt_1FKiwhDph83XaGc0o0/edit?usp=sharing"",""งบพรบ!BA19"")"),0)</f>
        <v>0</v>
      </c>
      <c r="M124" s="93">
        <f ca="1">IFERROR(__xludf.DUMMYFUNCTION("IMPORTRANGE(""https://docs.google.com/spreadsheets/d/1MeEWN-I1oV_STSDYn1IFDPWt_1FKiwhDph83XaGc0o0/edit?usp=sharing"",""งบพรบ!BF19"")"),0)</f>
        <v>0</v>
      </c>
      <c r="N124" s="93">
        <f ca="1">IFERROR(__xludf.DUMMYFUNCTION("IMPORTRANGE(""https://docs.google.com/spreadsheets/d/1MeEWN-I1oV_STSDYn1IFDPWt_1FKiwhDph83XaGc0o0/edit?usp=sharing"",""งบพรบ!BH19"")"),0)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2067000</v>
      </c>
      <c r="M125" s="466">
        <f t="shared" ca="1" si="65"/>
        <v>2067000</v>
      </c>
      <c r="N125" s="466">
        <f t="shared" ca="1" si="65"/>
        <v>1891300</v>
      </c>
      <c r="O125" s="466">
        <f t="shared" ca="1" si="61"/>
        <v>91.49975810353169</v>
      </c>
      <c r="P125" s="466">
        <f t="shared" ca="1" si="62"/>
        <v>91.49975810353169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IFERROR(__xludf.DUMMYFUNCTION("IMPORTRANGE(""https://docs.google.com/spreadsheets/d/1MeEWN-I1oV_STSDYn1IFDPWt_1FKiwhDph83XaGc0o0/edit?usp=sharing"",""งบพรบ!BD19"")"),2067000)</f>
        <v>2067000</v>
      </c>
      <c r="M127" s="93">
        <f ca="1">IFERROR(__xludf.DUMMYFUNCTION("IMPORTRANGE(""https://docs.google.com/spreadsheets/d/1MeEWN-I1oV_STSDYn1IFDPWt_1FKiwhDph83XaGc0o0/edit?usp=sharing"",""งบพรบ!BG19"")"),2067000)</f>
        <v>2067000</v>
      </c>
      <c r="N127" s="93">
        <f ca="1">IFERROR(__xludf.DUMMYFUNCTION("IMPORTRANGE(""https://docs.google.com/spreadsheets/d/1MeEWN-I1oV_STSDYn1IFDPWt_1FKiwhDph83XaGc0o0/edit?usp=sharing"",""งบพรบ!BI19"")"),1891300)</f>
        <v>1891300</v>
      </c>
      <c r="O127" s="93">
        <f t="shared" ca="1" si="61"/>
        <v>91.49975810353169</v>
      </c>
      <c r="P127" s="93">
        <f t="shared" ca="1" si="62"/>
        <v>91.49975810353169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303310</v>
      </c>
      <c r="M132" s="155">
        <f t="shared" ca="1" si="69"/>
        <v>267200</v>
      </c>
      <c r="N132" s="155">
        <f t="shared" ca="1" si="69"/>
        <v>88570</v>
      </c>
      <c r="O132" s="155">
        <f t="shared" ref="O132:O140" ca="1" si="70">IF(L132&gt;0,N132*100/L132,0)</f>
        <v>29.201147341004255</v>
      </c>
      <c r="P132" s="155">
        <f t="shared" ref="P132:P140" ca="1" si="71">IF(M132&gt;0,N132*100/M132,0)</f>
        <v>33.147455089820362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303310</v>
      </c>
      <c r="M134" s="93">
        <f t="shared" ca="1" si="72"/>
        <v>267200</v>
      </c>
      <c r="N134" s="93">
        <f t="shared" ca="1" si="72"/>
        <v>88570</v>
      </c>
      <c r="O134" s="93">
        <f t="shared" ca="1" si="70"/>
        <v>29.201147341004255</v>
      </c>
      <c r="P134" s="93">
        <f t="shared" ca="1" si="71"/>
        <v>33.147455089820362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97310</v>
      </c>
      <c r="M135" s="466">
        <f t="shared" ca="1" si="73"/>
        <v>61200</v>
      </c>
      <c r="N135" s="466">
        <f t="shared" ca="1" si="73"/>
        <v>6570</v>
      </c>
      <c r="O135" s="466">
        <f t="shared" ca="1" si="70"/>
        <v>6.7516185386907823</v>
      </c>
      <c r="P135" s="466">
        <f t="shared" ca="1" si="71"/>
        <v>10.735294117647058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IFERROR(__xludf.DUMMYFUNCTION("IMPORTRANGE(""https://docs.google.com/spreadsheets/d/1MeEWN-I1oV_STSDYn1IFDPWt_1FKiwhDph83XaGc0o0/edit?usp=sharing"",""งบพรบ!BK19"")"),97310)</f>
        <v>97310</v>
      </c>
      <c r="M137" s="93">
        <f ca="1">IFERROR(__xludf.DUMMYFUNCTION("IMPORTRANGE(""https://docs.google.com/spreadsheets/d/1MeEWN-I1oV_STSDYn1IFDPWt_1FKiwhDph83XaGc0o0/edit?usp=sharing"",""งบพรบ!BP19"")"),61200)</f>
        <v>61200</v>
      </c>
      <c r="N137" s="93">
        <f ca="1">IFERROR(__xludf.DUMMYFUNCTION("IMPORTRANGE(""https://docs.google.com/spreadsheets/d/1MeEWN-I1oV_STSDYn1IFDPWt_1FKiwhDph83XaGc0o0/edit?usp=sharing"",""งบพรบ!BR19"")"),6570)</f>
        <v>6570</v>
      </c>
      <c r="O137" s="93">
        <f t="shared" ca="1" si="70"/>
        <v>6.7516185386907823</v>
      </c>
      <c r="P137" s="93">
        <f t="shared" ca="1" si="71"/>
        <v>10.735294117647058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206000</v>
      </c>
      <c r="M138" s="466">
        <f t="shared" ca="1" si="74"/>
        <v>206000</v>
      </c>
      <c r="N138" s="466">
        <f t="shared" ca="1" si="74"/>
        <v>82000</v>
      </c>
      <c r="O138" s="466">
        <f t="shared" ca="1" si="70"/>
        <v>39.805825242718448</v>
      </c>
      <c r="P138" s="466">
        <f t="shared" ca="1" si="71"/>
        <v>39.805825242718448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IFERROR(__xludf.DUMMYFUNCTION("IMPORTRANGE(""https://docs.google.com/spreadsheets/d/1MeEWN-I1oV_STSDYn1IFDPWt_1FKiwhDph83XaGc0o0/edit?usp=sharing"",""งบพรบ!BN19"")"),206000)</f>
        <v>206000</v>
      </c>
      <c r="M140" s="93">
        <f ca="1">IFERROR(__xludf.DUMMYFUNCTION("IMPORTRANGE(""https://docs.google.com/spreadsheets/d/1MeEWN-I1oV_STSDYn1IFDPWt_1FKiwhDph83XaGc0o0/edit?usp=sharing"",""งบพรบ!BQ19"")"),206000)</f>
        <v>206000</v>
      </c>
      <c r="N140" s="93">
        <f ca="1">IFERROR(__xludf.DUMMYFUNCTION("IMPORTRANGE(""https://docs.google.com/spreadsheets/d/1MeEWN-I1oV_STSDYn1IFDPWt_1FKiwhDph83XaGc0o0/edit?usp=sharing"",""งบพรบ!BS19"")"),82000)</f>
        <v>82000</v>
      </c>
      <c r="O140" s="93">
        <f t="shared" ca="1" si="70"/>
        <v>39.805825242718448</v>
      </c>
      <c r="P140" s="93">
        <f t="shared" ca="1" si="71"/>
        <v>39.805825242718448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IFERROR(__xludf.DUMMYFUNCTION("IMPORTRANGE(""https://docs.google.com/spreadsheets/d/1QqKyyYR6Q21VydFLVH3TRQUabQu_ym0Zz7PgGX0-kHA/edit?usp=sharing"",""แผน!U19"")"),10)</f>
        <v>10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IFERROR(__xludf.DUMMYFUNCTION("IMPORTRANGE(""https://docs.google.com/spreadsheets/d/1QqKyyYR6Q21VydFLVH3TRQUabQu_ym0Zz7PgGX0-kHA/edit?usp=sharing"",""แผน!V19"")"),20)</f>
        <v>20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IFERROR(__xludf.DUMMYFUNCTION("IMPORTRANGE(""https://docs.google.com/spreadsheets/d/1QqKyyYR6Q21VydFLVH3TRQUabQu_ym0Zz7PgGX0-kHA/edit?usp=sharing"",""แผน!W19"")"),2)</f>
        <v>2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IFERROR(__xludf.DUMMYFUNCTION("IMPORTRANGE(""https://docs.google.com/spreadsheets/d/1MeEWN-I1oV_STSDYn1IFDPWt_1FKiwhDph83XaGc0o0/edit?usp=sharing"",""งบพรบ!BU19"")"),0)</f>
        <v>0</v>
      </c>
      <c r="M154" s="93">
        <f ca="1">IFERROR(__xludf.DUMMYFUNCTION("IMPORTRANGE(""https://docs.google.com/spreadsheets/d/1MeEWN-I1oV_STSDYn1IFDPWt_1FKiwhDph83XaGc0o0/edit?usp=sharing"",""งบพรบ!BZ19"")"),0)</f>
        <v>0</v>
      </c>
      <c r="N154" s="93">
        <f ca="1">IFERROR(__xludf.DUMMYFUNCTION("IMPORTRANGE(""https://docs.google.com/spreadsheets/d/1MeEWN-I1oV_STSDYn1IFDPWt_1FKiwhDph83XaGc0o0/edit?usp=sharing"",""งบพรบ!CB19"")"),0)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IFERROR(__xludf.DUMMYFUNCTION("IMPORTRANGE(""https://docs.google.com/spreadsheets/d/1MeEWN-I1oV_STSDYn1IFDPWt_1FKiwhDph83XaGc0o0/edit?usp=sharing"",""งบพรบ!BX19"")"),0)</f>
        <v>0</v>
      </c>
      <c r="M157" s="93">
        <f ca="1">IFERROR(__xludf.DUMMYFUNCTION("IMPORTRANGE(""https://docs.google.com/spreadsheets/d/1MeEWN-I1oV_STSDYn1IFDPWt_1FKiwhDph83XaGc0o0/edit?usp=sharing"",""งบพรบ!CA19"")"),0)</f>
        <v>0</v>
      </c>
      <c r="N157" s="93">
        <f ca="1">IFERROR(__xludf.DUMMYFUNCTION("IMPORTRANGE(""https://docs.google.com/spreadsheets/d/1MeEWN-I1oV_STSDYn1IFDPWt_1FKiwhDph83XaGc0o0/edit?usp=sharing"",""งบพรบ!CC19"")"),0)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15810</v>
      </c>
      <c r="O165" s="155">
        <f t="shared" ref="O165:O173" ca="1" si="85">IF(L165&gt;0,N165*100/L165,0)</f>
        <v>75.106888361045137</v>
      </c>
      <c r="P165" s="155">
        <f t="shared" ref="P165:P173" ca="1" si="86">IF(M165&gt;0,N165*100/M165,0)</f>
        <v>75.106888361045137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15810</v>
      </c>
      <c r="O167" s="93">
        <f t="shared" ca="1" si="85"/>
        <v>75.106888361045137</v>
      </c>
      <c r="P167" s="93">
        <f t="shared" ca="1" si="86"/>
        <v>75.106888361045137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21050</v>
      </c>
      <c r="N168" s="466">
        <f t="shared" ca="1" si="88"/>
        <v>15810</v>
      </c>
      <c r="O168" s="466">
        <f t="shared" ca="1" si="85"/>
        <v>75.106888361045137</v>
      </c>
      <c r="P168" s="466">
        <f t="shared" ca="1" si="86"/>
        <v>75.106888361045137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IFERROR(__xludf.DUMMYFUNCTION("IMPORTRANGE(""https://docs.google.com/spreadsheets/d/1MeEWN-I1oV_STSDYn1IFDPWt_1FKiwhDph83XaGc0o0/edit?usp=sharing"",""งบพรบ!CE19"")"),21050)</f>
        <v>21050</v>
      </c>
      <c r="M170" s="93">
        <f ca="1">IFERROR(__xludf.DUMMYFUNCTION("IMPORTRANGE(""https://docs.google.com/spreadsheets/d/1MeEWN-I1oV_STSDYn1IFDPWt_1FKiwhDph83XaGc0o0/edit?usp=sharing"",""งบพรบ!CJ19"")"),21050)</f>
        <v>21050</v>
      </c>
      <c r="N170" s="93">
        <f ca="1">IFERROR(__xludf.DUMMYFUNCTION("IMPORTRANGE(""https://docs.google.com/spreadsheets/d/1MeEWN-I1oV_STSDYn1IFDPWt_1FKiwhDph83XaGc0o0/edit?usp=sharing"",""งบพรบ!CL19"")"),15810)</f>
        <v>15810</v>
      </c>
      <c r="O170" s="93">
        <f t="shared" ca="1" si="85"/>
        <v>75.106888361045137</v>
      </c>
      <c r="P170" s="93">
        <f t="shared" ca="1" si="86"/>
        <v>75.106888361045137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IFERROR(__xludf.DUMMYFUNCTION("IMPORTRANGE(""https://docs.google.com/spreadsheets/d/1MeEWN-I1oV_STSDYn1IFDPWt_1FKiwhDph83XaGc0o0/edit?usp=sharing"",""งบพรบ!CH19"")"),0)</f>
        <v>0</v>
      </c>
      <c r="M173" s="93">
        <f ca="1">IFERROR(__xludf.DUMMYFUNCTION("IMPORTRANGE(""https://docs.google.com/spreadsheets/d/1MeEWN-I1oV_STSDYn1IFDPWt_1FKiwhDph83XaGc0o0/edit?usp=sharing"",""งบพรบ!CK19"")"),0)</f>
        <v>0</v>
      </c>
      <c r="N173" s="93">
        <f ca="1">IFERROR(__xludf.DUMMYFUNCTION("IMPORTRANGE(""https://docs.google.com/spreadsheets/d/1MeEWN-I1oV_STSDYn1IFDPWt_1FKiwhDph83XaGc0o0/edit?usp=sharing"",""งบพรบ!CM19"")"),0)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80</v>
      </c>
      <c r="J180" s="253">
        <f t="shared" si="91"/>
        <v>40</v>
      </c>
      <c r="K180" s="254">
        <f ca="1">IF(I180&gt;0,J180*100/I180,0)</f>
        <v>50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962600</v>
      </c>
      <c r="M181" s="155">
        <f t="shared" ca="1" si="92"/>
        <v>470350</v>
      </c>
      <c r="N181" s="155">
        <f t="shared" ca="1" si="92"/>
        <v>336534.69</v>
      </c>
      <c r="O181" s="155">
        <f t="shared" ref="O181:O189" ca="1" si="93">IF(L181&gt;0,N181*100/L181,0)</f>
        <v>34.961010804072302</v>
      </c>
      <c r="P181" s="155">
        <f t="shared" ref="P181:P189" ca="1" si="94">IF(M181&gt;0,N181*100/M181,0)</f>
        <v>71.549843733390034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962600</v>
      </c>
      <c r="M183" s="93">
        <f t="shared" ca="1" si="95"/>
        <v>470350</v>
      </c>
      <c r="N183" s="93">
        <f t="shared" ca="1" si="95"/>
        <v>336534.69</v>
      </c>
      <c r="O183" s="93">
        <f t="shared" ca="1" si="93"/>
        <v>34.961010804072302</v>
      </c>
      <c r="P183" s="93">
        <f t="shared" ca="1" si="94"/>
        <v>71.549843733390034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962600</v>
      </c>
      <c r="M184" s="466">
        <f t="shared" ca="1" si="96"/>
        <v>470350</v>
      </c>
      <c r="N184" s="466">
        <f t="shared" ca="1" si="96"/>
        <v>336534.69</v>
      </c>
      <c r="O184" s="466">
        <f t="shared" ca="1" si="93"/>
        <v>34.961010804072302</v>
      </c>
      <c r="P184" s="466">
        <f t="shared" ca="1" si="94"/>
        <v>71.549843733390034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IFERROR(__xludf.DUMMYFUNCTION("IMPORTRANGE(""https://docs.google.com/spreadsheets/d/1MeEWN-I1oV_STSDYn1IFDPWt_1FKiwhDph83XaGc0o0/edit?usp=sharing"",""งบพรบ!CO19"")"),962600)</f>
        <v>962600</v>
      </c>
      <c r="M186" s="93">
        <f ca="1">IFERROR(__xludf.DUMMYFUNCTION("IMPORTRANGE(""https://docs.google.com/spreadsheets/d/1MeEWN-I1oV_STSDYn1IFDPWt_1FKiwhDph83XaGc0o0/edit?usp=sharing"",""งบพรบ!CT19"")"),470350)</f>
        <v>470350</v>
      </c>
      <c r="N186" s="93">
        <f ca="1">IFERROR(__xludf.DUMMYFUNCTION("IMPORTRANGE(""https://docs.google.com/spreadsheets/d/1MeEWN-I1oV_STSDYn1IFDPWt_1FKiwhDph83XaGc0o0/edit?usp=sharing"",""งบพรบ!CV19"")"),336534.69)</f>
        <v>336534.69</v>
      </c>
      <c r="O186" s="93">
        <f t="shared" ca="1" si="93"/>
        <v>34.961010804072302</v>
      </c>
      <c r="P186" s="93">
        <f t="shared" ca="1" si="94"/>
        <v>71.549843733390034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IFERROR(__xludf.DUMMYFUNCTION("IMPORTRANGE(""https://docs.google.com/spreadsheets/d/1MeEWN-I1oV_STSDYn1IFDPWt_1FKiwhDph83XaGc0o0/edit?usp=sharing"",""งบพรบ!CR19"")"),0)</f>
        <v>0</v>
      </c>
      <c r="M189" s="93">
        <f ca="1">IFERROR(__xludf.DUMMYFUNCTION("IMPORTRANGE(""https://docs.google.com/spreadsheets/d/1MeEWN-I1oV_STSDYn1IFDPWt_1FKiwhDph83XaGc0o0/edit?usp=sharing"",""งบพรบ!CU19"")"),0)</f>
        <v>0</v>
      </c>
      <c r="N189" s="93">
        <f ca="1">IFERROR(__xludf.DUMMYFUNCTION("IMPORTRANGE(""https://docs.google.com/spreadsheets/d/1MeEWN-I1oV_STSDYn1IFDPWt_1FKiwhDph83XaGc0o0/edit?usp=sharing"",""งบพรบ!CW19"")"),0)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IFERROR(__xludf.DUMMYFUNCTION("IMPORTRANGE(""https://docs.google.com/spreadsheets/d/1QqKyyYR6Q21VydFLVH3TRQUabQu_ym0Zz7PgGX0-kHA/edit?usp=sharing"",""แผน!Z19"")"),6000)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IFERROR(__xludf.DUMMYFUNCTION("IMPORTRANGE(""https://docs.google.com/spreadsheets/d/1QqKyyYR6Q21VydFLVH3TRQUabQu_ym0Zz7PgGX0-kHA/edit?usp=sharing"",""แผน!AC19"")"),4)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57000</v>
      </c>
      <c r="M198" s="155"/>
      <c r="N198" s="155">
        <f>N199+N200+N201+N202</f>
        <v>33420</v>
      </c>
      <c r="O198" s="155">
        <f ca="1">IF(L198&gt;0,N198*100/L198,0)</f>
        <v>58.631578947368418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IFERROR(__xludf.DUMMYFUNCTION("IMPORTRANGE(""https://docs.google.com/spreadsheets/d/1QqKyyYR6Q21VydFLVH3TRQUabQu_ym0Zz7PgGX0-kHA/edit?usp=sharing"",""แผน!AE19"")"),4000)</f>
        <v>4000</v>
      </c>
      <c r="M199" s="466"/>
      <c r="N199" s="798">
        <v>1500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IFERROR(__xludf.DUMMYFUNCTION("IMPORTRANGE(""https://docs.google.com/spreadsheets/d/1QqKyyYR6Q21VydFLVH3TRQUabQu_ym0Zz7PgGX0-kHA/edit?usp=sharing"",""แผน!AF19"")"),32000)</f>
        <v>32000</v>
      </c>
      <c r="M200" s="466"/>
      <c r="N200" s="798">
        <v>31920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IFERROR(__xludf.DUMMYFUNCTION("IMPORTRANGE(""https://docs.google.com/spreadsheets/d/1QqKyyYR6Q21VydFLVH3TRQUabQu_ym0Zz7PgGX0-kHA/edit?usp=sharing"",""แผน!AG19"")"),16000)</f>
        <v>16000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IFERROR(__xludf.DUMMYFUNCTION("IMPORTRANGE(""https://docs.google.com/spreadsheets/d/1QqKyyYR6Q21VydFLVH3TRQUabQu_ym0Zz7PgGX0-kHA/edit?usp=sharing"",""แผน!AH19"")"),5000)</f>
        <v>5000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IFERROR(__xludf.DUMMYFUNCTION("IMPORTRANGE(""https://docs.google.com/spreadsheets/d/1QqKyyYR6Q21VydFLVH3TRQUabQu_ym0Zz7PgGX0-kHA/edit?usp=sharing"",""แผน!AI19"")"),4)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IFERROR(__xludf.DUMMYFUNCTION("IMPORTRANGE(""https://docs.google.com/spreadsheets/d/1QqKyyYR6Q21VydFLVH3TRQUabQu_ym0Zz7PgGX0-kHA/edit?usp=sharing"",""แผน!AK19"")"),0)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IFERROR(__xludf.DUMMYFUNCTION("IMPORTRANGE(""https://docs.google.com/spreadsheets/d/1QqKyyYR6Q21VydFLVH3TRQUabQu_ym0Zz7PgGX0-kHA/edit?usp=sharing"",""แผน!AL19"")"),0)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IFERROR(__xludf.DUMMYFUNCTION("IMPORTRANGE(""https://docs.google.com/spreadsheets/d/1QqKyyYR6Q21VydFLVH3TRQUabQu_ym0Zz7PgGX0-kHA/edit?usp=sharing"",""แผน!AM19"")"),0)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IFERROR(__xludf.DUMMYFUNCTION("IMPORTRANGE(""https://docs.google.com/spreadsheets/d/1QqKyyYR6Q21VydFLVH3TRQUabQu_ym0Zz7PgGX0-kHA/edit?usp=sharing"",""แผน!AN19"")"),0)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IFERROR(__xludf.DUMMYFUNCTION("IMPORTRANGE(""https://docs.google.com/spreadsheets/d/1QqKyyYR6Q21VydFLVH3TRQUabQu_ym0Zz7PgGX0-kHA/edit?usp=sharing"",""แผน!AN19"")"),0)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IFERROR(__xludf.DUMMYFUNCTION("IMPORTRANGE(""https://docs.google.com/spreadsheets/d/1QqKyyYR6Q21VydFLVH3TRQUabQu_ym0Zz7PgGX0-kHA/edit?usp=sharing"",""แผน!AP19"")"),5000)</f>
        <v>5000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IFERROR(__xludf.DUMMYFUNCTION("IMPORTRANGE(""https://docs.google.com/spreadsheets/d/1QqKyyYR6Q21VydFLVH3TRQUabQu_ym0Zz7PgGX0-kHA/edit?usp=sharing"",""แผน!AQ19"")"),13500)</f>
        <v>13500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IFERROR(__xludf.DUMMYFUNCTION("IMPORTRANGE(""https://docs.google.com/spreadsheets/d/1QqKyyYR6Q21VydFLVH3TRQUabQu_ym0Zz7PgGX0-kHA/edit?usp=sharing"",""แผน!AR19"")"),0)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IFERROR(__xludf.DUMMYFUNCTION("IMPORTRANGE(""https://docs.google.com/spreadsheets/d/1QqKyyYR6Q21VydFLVH3TRQUabQu_ym0Zz7PgGX0-kHA/edit?usp=sharing"",""แผน!AT19"")"),50000)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IFERROR(__xludf.DUMMYFUNCTION("IMPORTRANGE(""https://docs.google.com/spreadsheets/d/1QqKyyYR6Q21VydFLVH3TRQUabQu_ym0Zz7PgGX0-kHA/edit?usp=sharing"",""แผน!AT19"")"),50000)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IFERROR(__xludf.DUMMYFUNCTION("IMPORTRANGE(""https://docs.google.com/spreadsheets/d/1QqKyyYR6Q21VydFLVH3TRQUabQu_ym0Zz7PgGX0-kHA/edit?usp=sharing"",""แผน!AS19"")"),0)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80</v>
      </c>
      <c r="J226" s="841">
        <f t="shared" si="105"/>
        <v>40</v>
      </c>
      <c r="K226" s="842">
        <f t="shared" ca="1" si="104"/>
        <v>50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381600</v>
      </c>
      <c r="M227" s="851"/>
      <c r="N227" s="851">
        <f t="shared" ref="N227:N231" si="107">N238+N249</f>
        <v>107200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185000</v>
      </c>
      <c r="M228" s="93"/>
      <c r="N228" s="93">
        <f t="shared" si="107"/>
        <v>51460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111600</v>
      </c>
      <c r="M229" s="93"/>
      <c r="N229" s="93">
        <f t="shared" si="107"/>
        <v>55740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65000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80</v>
      </c>
      <c r="J233" s="584">
        <f t="shared" si="108"/>
        <v>40</v>
      </c>
      <c r="K233" s="93">
        <f ca="1">IF(I233&gt;0,J233*100/I233,0)</f>
        <v>50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80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2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339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104000</v>
      </c>
      <c r="M238" s="155"/>
      <c r="N238" s="155">
        <f>N239+N240+N241+N242</f>
        <v>23290</v>
      </c>
      <c r="O238" s="155">
        <f ca="1">IF(L238&gt;0,N238*100/L238,0)</f>
        <v>22.39423076923077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IFERROR(__xludf.DUMMYFUNCTION("IMPORTRANGE(""https://docs.google.com/spreadsheets/d/1QqKyyYR6Q21VydFLVH3TRQUabQu_ym0Zz7PgGX0-kHA/edit?usp=sharing"",""แผน!AV19"")"),20000)</f>
        <v>20000</v>
      </c>
      <c r="M239" s="322"/>
      <c r="N239" s="341">
        <v>1920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IFERROR(__xludf.DUMMYFUNCTION("IMPORTRANGE(""https://docs.google.com/spreadsheets/d/1QqKyyYR6Q21VydFLVH3TRQUabQu_ym0Zz7PgGX0-kHA/edit?usp=sharing"",""แผน!AW19"")"),54000)</f>
        <v>54000</v>
      </c>
      <c r="M240" s="322"/>
      <c r="N240" s="341">
        <v>21370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IFERROR(__xludf.DUMMYFUNCTION("IMPORTRANGE(""https://docs.google.com/spreadsheets/d/1QqKyyYR6Q21VydFLVH3TRQUabQu_ym0Zz7PgGX0-kHA/edit?usp=sharing"",""แผน!AX19"")"),20000)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IFERROR(__xludf.DUMMYFUNCTION("IMPORTRANGE(""https://docs.google.com/spreadsheets/d/1QqKyyYR6Q21VydFLVH3TRQUabQu_ym0Zz7PgGX0-kHA/edit?usp=sharing"",""แผน!AY19"")"),10000)</f>
        <v>10000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IFERROR(__xludf.DUMMYFUNCTION("IMPORTRANGE(""https://docs.google.com/spreadsheets/d/1QqKyyYR6Q21VydFLVH3TRQUabQu_ym0Zz7PgGX0-kHA/edit?usp=sharing"",""แผน!BE19"")"),40)</f>
        <v>40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340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277600</v>
      </c>
      <c r="M249" s="155"/>
      <c r="N249" s="155">
        <f>N250+N251+N252+N253</f>
        <v>83910</v>
      </c>
      <c r="O249" s="155">
        <f ca="1">IF(L249&gt;0,N249*100/L249,0)</f>
        <v>30.226945244956774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IFERROR(__xludf.DUMMYFUNCTION("IMPORTRANGE(""https://docs.google.com/spreadsheets/d/1QqKyyYR6Q21VydFLVH3TRQUabQu_ym0Zz7PgGX0-kHA/edit?usp=sharing"",""แผน!AZ19"")"),165000)</f>
        <v>165000</v>
      </c>
      <c r="M250" s="322"/>
      <c r="N250" s="341">
        <v>49540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IFERROR(__xludf.DUMMYFUNCTION("IMPORTRANGE(""https://docs.google.com/spreadsheets/d/1QqKyyYR6Q21VydFLVH3TRQUabQu_ym0Zz7PgGX0-kHA/edit?usp=sharing"",""แผน!BA19"")"),57600)</f>
        <v>57600</v>
      </c>
      <c r="M251" s="322"/>
      <c r="N251" s="341">
        <v>34370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IFERROR(__xludf.DUMMYFUNCTION("IMPORTRANGE(""https://docs.google.com/spreadsheets/d/1QqKyyYR6Q21VydFLVH3TRQUabQu_ym0Zz7PgGX0-kHA/edit?usp=sharing"",""แผน!BB19"")"),45000)</f>
        <v>45000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IFERROR(__xludf.DUMMYFUNCTION("IMPORTRANGE(""https://docs.google.com/spreadsheets/d/1QqKyyYR6Q21VydFLVH3TRQUabQu_ym0Zz7PgGX0-kHA/edit?usp=sharing"",""แผน!BC19"")"),10000)</f>
        <v>10000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IFERROR(__xludf.DUMMYFUNCTION("IMPORTRANGE(""https://docs.google.com/spreadsheets/d/1QqKyyYR6Q21VydFLVH3TRQUabQu_ym0Zz7PgGX0-kHA/edit?usp=sharing"",""แผน!BF19"")"),40)</f>
        <v>40</v>
      </c>
      <c r="J255" s="215">
        <v>40</v>
      </c>
      <c r="K255" s="466">
        <f ca="1">IF(I255&gt;0,J255*100/I255,0)</f>
        <v>100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>
        <v>40</v>
      </c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>
        <v>1</v>
      </c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0</v>
      </c>
      <c r="O264" s="466">
        <f t="shared" ca="1" si="117"/>
        <v>0</v>
      </c>
      <c r="P264" s="46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IFERROR(__xludf.DUMMYFUNCTION("IMPORTRANGE(""https://docs.google.com/spreadsheets/d/1MeEWN-I1oV_STSDYn1IFDPWt_1FKiwhDph83XaGc0o0/edit?usp=sharing"",""งบพรบ!CY19"")"),26900)</f>
        <v>26900</v>
      </c>
      <c r="M266" s="93">
        <f ca="1">IFERROR(__xludf.DUMMYFUNCTION("IMPORTRANGE(""https://docs.google.com/spreadsheets/d/1MeEWN-I1oV_STSDYn1IFDPWt_1FKiwhDph83XaGc0o0/edit?usp=sharing"",""งบพรบ!DD19"")"),23900)</f>
        <v>23900</v>
      </c>
      <c r="N266" s="93">
        <f ca="1">IFERROR(__xludf.DUMMYFUNCTION("IMPORTRANGE(""https://docs.google.com/spreadsheets/d/1MeEWN-I1oV_STSDYn1IFDPWt_1FKiwhDph83XaGc0o0/edit?usp=sharing"",""งบพรบ!DF19"")"),0)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IFERROR(__xludf.DUMMYFUNCTION("IMPORTRANGE(""https://docs.google.com/spreadsheets/d/1MeEWN-I1oV_STSDYn1IFDPWt_1FKiwhDph83XaGc0o0/edit?usp=sharing"",""งบพรบ!DB19"")"),0)</f>
        <v>0</v>
      </c>
      <c r="M269" s="93">
        <f ca="1">IFERROR(__xludf.DUMMYFUNCTION("IMPORTRANGE(""https://docs.google.com/spreadsheets/d/1MeEWN-I1oV_STSDYn1IFDPWt_1FKiwhDph83XaGc0o0/edit?usp=sharing"",""งบพรบ!DE19"")"),0)</f>
        <v>0</v>
      </c>
      <c r="N269" s="93">
        <f ca="1">IFERROR(__xludf.DUMMYFUNCTION("IMPORTRANGE(""https://docs.google.com/spreadsheets/d/1MeEWN-I1oV_STSDYn1IFDPWt_1FKiwhDph83XaGc0o0/edit?usp=sharing"",""งบพรบ!DG19"")"),0)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IFERROR(__xludf.DUMMYFUNCTION("IMPORTRANGE(""https://docs.google.com/spreadsheets/d/1QqKyyYR6Q21VydFLVH3TRQUabQu_ym0Zz7PgGX0-kHA/edit?usp=sharing"",""แผน!EA19"")"),22)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24630</v>
      </c>
      <c r="M277" s="155">
        <f t="shared" ca="1" si="125"/>
        <v>15100</v>
      </c>
      <c r="N277" s="155">
        <f t="shared" ca="1" si="125"/>
        <v>2000</v>
      </c>
      <c r="O277" s="155">
        <f t="shared" ref="O277:O285" ca="1" si="126">IF(L277&gt;0,N277*100/L277,0)</f>
        <v>8.1201786439301671</v>
      </c>
      <c r="P277" s="155">
        <f t="shared" ref="P277:P285" ca="1" si="127">IF(M277&gt;0,N277*100/M277,0)</f>
        <v>13.245033112582782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24630</v>
      </c>
      <c r="M279" s="93">
        <f t="shared" ca="1" si="128"/>
        <v>15100</v>
      </c>
      <c r="N279" s="93">
        <f t="shared" ca="1" si="128"/>
        <v>2000</v>
      </c>
      <c r="O279" s="93">
        <f t="shared" ca="1" si="126"/>
        <v>8.1201786439301671</v>
      </c>
      <c r="P279" s="93">
        <f t="shared" ca="1" si="127"/>
        <v>13.245033112582782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24630</v>
      </c>
      <c r="M280" s="466">
        <f t="shared" ca="1" si="129"/>
        <v>15100</v>
      </c>
      <c r="N280" s="466">
        <f t="shared" ca="1" si="129"/>
        <v>2000</v>
      </c>
      <c r="O280" s="466">
        <f t="shared" ca="1" si="126"/>
        <v>8.1201786439301671</v>
      </c>
      <c r="P280" s="466">
        <f t="shared" ca="1" si="127"/>
        <v>13.245033112582782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IFERROR(__xludf.DUMMYFUNCTION("IMPORTRANGE(""https://docs.google.com/spreadsheets/d/1MeEWN-I1oV_STSDYn1IFDPWt_1FKiwhDph83XaGc0o0/edit?usp=sharing"",""งบพรบ!DI19"")"),24630)</f>
        <v>24630</v>
      </c>
      <c r="M282" s="93">
        <f ca="1">IFERROR(__xludf.DUMMYFUNCTION("IMPORTRANGE(""https://docs.google.com/spreadsheets/d/1MeEWN-I1oV_STSDYn1IFDPWt_1FKiwhDph83XaGc0o0/edit?usp=sharing"",""งบพรบ!DN19"")"),15100)</f>
        <v>15100</v>
      </c>
      <c r="N282" s="93">
        <f ca="1">IFERROR(__xludf.DUMMYFUNCTION("IMPORTRANGE(""https://docs.google.com/spreadsheets/d/1MeEWN-I1oV_STSDYn1IFDPWt_1FKiwhDph83XaGc0o0/edit?usp=sharing"",""งบพรบ!DP19"")"),2000)</f>
        <v>2000</v>
      </c>
      <c r="O282" s="93">
        <f t="shared" ca="1" si="126"/>
        <v>8.1201786439301671</v>
      </c>
      <c r="P282" s="93">
        <f t="shared" ca="1" si="127"/>
        <v>13.245033112582782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IFERROR(__xludf.DUMMYFUNCTION("IMPORTRANGE(""https://docs.google.com/spreadsheets/d/1MeEWN-I1oV_STSDYn1IFDPWt_1FKiwhDph83XaGc0o0/edit?usp=sharing"",""งบพรบ!DL19"")"),0)</f>
        <v>0</v>
      </c>
      <c r="M285" s="93">
        <f ca="1">IFERROR(__xludf.DUMMYFUNCTION("IMPORTRANGE(""https://docs.google.com/spreadsheets/d/1MeEWN-I1oV_STSDYn1IFDPWt_1FKiwhDph83XaGc0o0/edit?usp=sharing"",""งบพรบ!DO19"")"),0)</f>
        <v>0</v>
      </c>
      <c r="N285" s="93">
        <f ca="1">IFERROR(__xludf.DUMMYFUNCTION("IMPORTRANGE(""https://docs.google.com/spreadsheets/d/1MeEWN-I1oV_STSDYn1IFDPWt_1FKiwhDph83XaGc0o0/edit?usp=sharing"",""งบพรบ!DQ19"")"),0)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IFERROR(__xludf.DUMMYFUNCTION("IMPORTRANGE(""https://docs.google.com/spreadsheets/d/1QqKyyYR6Q21VydFLVH3TRQUabQu_ym0Zz7PgGX0-kHA/edit?usp=sharing"",""แผน!EC19"")"),50)</f>
        <v>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IFERROR(__xludf.DUMMYFUNCTION("IMPORTRANGE(""https://docs.google.com/spreadsheets/d/1QqKyyYR6Q21VydFLVH3TRQUabQu_ym0Zz7PgGX0-kHA/edit?usp=sharing"",""แผน!EB19"")"),5)</f>
        <v>5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IFERROR(__xludf.DUMMYFUNCTION("IMPORTRANGE(""https://docs.google.com/spreadsheets/d/1QqKyyYR6Q21VydFLVH3TRQUabQu_ym0Zz7PgGX0-kHA/edit?usp=sharing"",""แผน!EB19"")"),5)</f>
        <v>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IFERROR(__xludf.DUMMYFUNCTION("IMPORTRANGE(""https://docs.google.com/spreadsheets/d/1QqKyyYR6Q21VydFLVH3TRQUabQu_ym0Zz7PgGX0-kHA/edit?usp=sharing"",""แผน!EB19"")"),5)</f>
        <v>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IFERROR(__xludf.DUMMYFUNCTION("IMPORTRANGE(""https://docs.google.com/spreadsheets/d/1QqKyyYR6Q21VydFLVH3TRQUabQu_ym0Zz7PgGX0-kHA/edit?usp=sharing"",""แผน!EB19"")"),5)</f>
        <v>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IFERROR(__xludf.DUMMYFUNCTION("IMPORTRANGE(""https://docs.google.com/spreadsheets/d/1MeEWN-I1oV_STSDYn1IFDPWt_1FKiwhDph83XaGc0o0/edit?usp=sharing"",""งบพรบ!DS19"")"),0)</f>
        <v>0</v>
      </c>
      <c r="M303" s="93">
        <f ca="1">IFERROR(__xludf.DUMMYFUNCTION("IMPORTRANGE(""https://docs.google.com/spreadsheets/d/1MeEWN-I1oV_STSDYn1IFDPWt_1FKiwhDph83XaGc0o0/edit?usp=sharing"",""งบพรบ!DX19"")"),0)</f>
        <v>0</v>
      </c>
      <c r="N303" s="93">
        <f ca="1">IFERROR(__xludf.DUMMYFUNCTION("IMPORTRANGE(""https://docs.google.com/spreadsheets/d/1MeEWN-I1oV_STSDYn1IFDPWt_1FKiwhDph83XaGc0o0/edit?usp=sharing"",""งบพรบ!DZ19"")"),0)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IFERROR(__xludf.DUMMYFUNCTION("IMPORTRANGE(""https://docs.google.com/spreadsheets/d/1MeEWN-I1oV_STSDYn1IFDPWt_1FKiwhDph83XaGc0o0/edit?usp=sharing"",""งบพรบ!DV19"")"),0)</f>
        <v>0</v>
      </c>
      <c r="M306" s="93">
        <f ca="1">IFERROR(__xludf.DUMMYFUNCTION("IMPORTRANGE(""https://docs.google.com/spreadsheets/d/1MeEWN-I1oV_STSDYn1IFDPWt_1FKiwhDph83XaGc0o0/edit?usp=sharing"",""งบพรบ!DY19"")"),0)</f>
        <v>0</v>
      </c>
      <c r="N306" s="93">
        <f ca="1">IFERROR(__xludf.DUMMYFUNCTION("IMPORTRANGE(""https://docs.google.com/spreadsheets/d/1MeEWN-I1oV_STSDYn1IFDPWt_1FKiwhDph83XaGc0o0/edit?usp=sharing"",""งบพรบ!EA19"")"),0)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IFERROR(__xludf.DUMMYFUNCTION("IMPORTRANGE(""https://docs.google.com/spreadsheets/d/1QqKyyYR6Q21VydFLVH3TRQUabQu_ym0Zz7PgGX0-kHA/edit?usp=sharing"",""แผน!ED19"")"),0)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IFERROR(__xludf.DUMMYFUNCTION("IMPORTRANGE(""https://docs.google.com/spreadsheets/d/1QqKyyYR6Q21VydFLVH3TRQUabQu_ym0Zz7PgGX0-kHA/edit?usp=sharing"",""แผน!ED19"")"),0)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IFERROR(__xludf.DUMMYFUNCTION("IMPORTRANGE(""https://docs.google.com/spreadsheets/d/1QqKyyYR6Q21VydFLVH3TRQUabQu_ym0Zz7PgGX0-kHA/edit?usp=sharing"",""แผน!ED19"")"),0)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IFERROR(__xludf.DUMMYFUNCTION("IMPORTRANGE(""https://docs.google.com/spreadsheets/d/1QqKyyYR6Q21VydFLVH3TRQUabQu_ym0Zz7PgGX0-kHA/edit?usp=sharing"",""แผน!EE19"")"),0)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IFERROR(__xludf.DUMMYFUNCTION("IMPORTRANGE(""https://docs.google.com/spreadsheets/d/1MeEWN-I1oV_STSDYn1IFDPWt_1FKiwhDph83XaGc0o0/edit?usp=sharing"",""งบพรบ!EC19"")"),0)</f>
        <v>0</v>
      </c>
      <c r="M320" s="93">
        <f ca="1">IFERROR(__xludf.DUMMYFUNCTION("IMPORTRANGE(""https://docs.google.com/spreadsheets/d/1MeEWN-I1oV_STSDYn1IFDPWt_1FKiwhDph83XaGc0o0/edit?usp=sharing"",""งบพรบ!EH19"")"),0)</f>
        <v>0</v>
      </c>
      <c r="N320" s="93">
        <f ca="1">IFERROR(__xludf.DUMMYFUNCTION("IMPORTRANGE(""https://docs.google.com/spreadsheets/d/1MeEWN-I1oV_STSDYn1IFDPWt_1FKiwhDph83XaGc0o0/edit?usp=sharing"",""งบพรบ!EJ19"")"),0)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IFERROR(__xludf.DUMMYFUNCTION("IMPORTRANGE(""https://docs.google.com/spreadsheets/d/1MeEWN-I1oV_STSDYn1IFDPWt_1FKiwhDph83XaGc0o0/edit?usp=sharing"",""งบพรบ!EF19"")"),0)</f>
        <v>0</v>
      </c>
      <c r="M323" s="93">
        <f ca="1">IFERROR(__xludf.DUMMYFUNCTION("IMPORTRANGE(""https://docs.google.com/spreadsheets/d/1MeEWN-I1oV_STSDYn1IFDPWt_1FKiwhDph83XaGc0o0/edit?usp=sharing"",""งบพรบ!EI19"")"),0)</f>
        <v>0</v>
      </c>
      <c r="N323" s="93">
        <f ca="1">IFERROR(__xludf.DUMMYFUNCTION("IMPORTRANGE(""https://docs.google.com/spreadsheets/d/1MeEWN-I1oV_STSDYn1IFDPWt_1FKiwhDph83XaGc0o0/edit?usp=sharing"",""งบพรบ!EK19"")"),0)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IFERROR(__xludf.DUMMYFUNCTION("IMPORTRANGE(""https://docs.google.com/spreadsheets/d/1QqKyyYR6Q21VydFLVH3TRQUabQu_ym0Zz7PgGX0-kHA/edit?usp=sharing"",""แผน!EG19"")"),1600)</f>
        <v>1600</v>
      </c>
      <c r="J327" s="413">
        <f ca="1">J338+J341+J342+J343</f>
        <v>819</v>
      </c>
      <c r="K327" s="414">
        <f ca="1">IF(I327&gt;0,J327*100/I327,0)</f>
        <v>51.1875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86000</v>
      </c>
      <c r="N328" s="155">
        <f t="shared" ca="1" si="149"/>
        <v>37840</v>
      </c>
      <c r="O328" s="155">
        <f t="shared" ref="O328:O336" ca="1" si="150">IF(L328&gt;0,N328*100/L328,0)</f>
        <v>22</v>
      </c>
      <c r="P328" s="155">
        <f t="shared" ref="P328:P336" ca="1" si="151">IF(M328&gt;0,N328*100/M328,0)</f>
        <v>44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172000</v>
      </c>
      <c r="M330" s="93">
        <f t="shared" ca="1" si="152"/>
        <v>86000</v>
      </c>
      <c r="N330" s="93">
        <f t="shared" ca="1" si="152"/>
        <v>37840</v>
      </c>
      <c r="O330" s="93">
        <f t="shared" ca="1" si="150"/>
        <v>22</v>
      </c>
      <c r="P330" s="93">
        <f t="shared" ca="1" si="151"/>
        <v>44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86000</v>
      </c>
      <c r="N331" s="466">
        <f t="shared" ca="1" si="153"/>
        <v>37840</v>
      </c>
      <c r="O331" s="466">
        <f t="shared" ca="1" si="150"/>
        <v>22</v>
      </c>
      <c r="P331" s="466">
        <f t="shared" ca="1" si="151"/>
        <v>44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IFERROR(__xludf.DUMMYFUNCTION("IMPORTRANGE(""https://docs.google.com/spreadsheets/d/1MeEWN-I1oV_STSDYn1IFDPWt_1FKiwhDph83XaGc0o0/edit?usp=sharing"",""งบพรบ!EM19"")"),172000)</f>
        <v>172000</v>
      </c>
      <c r="M333" s="93">
        <f ca="1">IFERROR(__xludf.DUMMYFUNCTION("IMPORTRANGE(""https://docs.google.com/spreadsheets/d/1MeEWN-I1oV_STSDYn1IFDPWt_1FKiwhDph83XaGc0o0/edit?usp=sharing"",""งบพรบ!ER19"")"),86000)</f>
        <v>86000</v>
      </c>
      <c r="N333" s="93">
        <f ca="1">IFERROR(__xludf.DUMMYFUNCTION("IMPORTRANGE(""https://docs.google.com/spreadsheets/d/1MeEWN-I1oV_STSDYn1IFDPWt_1FKiwhDph83XaGc0o0/edit?usp=sharing"",""งบพรบ!ET19"")"),37840)</f>
        <v>37840</v>
      </c>
      <c r="O333" s="93">
        <f t="shared" ca="1" si="150"/>
        <v>22</v>
      </c>
      <c r="P333" s="93">
        <f t="shared" ca="1" si="151"/>
        <v>44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IFERROR(__xludf.DUMMYFUNCTION("IMPORTRANGE(""https://docs.google.com/spreadsheets/d/1MeEWN-I1oV_STSDYn1IFDPWt_1FKiwhDph83XaGc0o0/edit?usp=sharing"",""งบพรบ!EP19"")"),0)</f>
        <v>0</v>
      </c>
      <c r="M336" s="93">
        <f ca="1">IFERROR(__xludf.DUMMYFUNCTION("IMPORTRANGE(""https://docs.google.com/spreadsheets/d/1MeEWN-I1oV_STSDYn1IFDPWt_1FKiwhDph83XaGc0o0/edit?usp=sharing"",""งบพรบ!ES19"")"),0)</f>
        <v>0</v>
      </c>
      <c r="N336" s="93">
        <f ca="1">IFERROR(__xludf.DUMMYFUNCTION("IMPORTRANGE(""https://docs.google.com/spreadsheets/d/1MeEWN-I1oV_STSDYn1IFDPWt_1FKiwhDph83XaGc0o0/edit?usp=sharing"",""งบพรบ!EU19"")"),0)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IFERROR(__xludf.DUMMYFUNCTION("IMPORTRANGE(""https://docs.google.com/spreadsheets/d/1QqKyyYR6Q21VydFLVH3TRQUabQu_ym0Zz7PgGX0-kHA/edit?usp=sharing"",""แผน!EG19"")"),1600)</f>
        <v>1600</v>
      </c>
      <c r="J338" s="270">
        <f ca="1">IFERROR(__xludf.DUMMYFUNCTION("IMPORTRANGE(""https://docs.google.com/spreadsheets/d/1kVcqe37tkHyjCSG3S0O1AXqVkqjo8mSIZil3BcpIysc/edit?usp=sharing"",""ศูนย์!D19"")"),679)</f>
        <v>679</v>
      </c>
      <c r="K338" s="466">
        <f ca="1">IF(I338&gt;0,J338*100/I338,0)</f>
        <v>42.4375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IFERROR(__xludf.DUMMYFUNCTION("IMPORTRANGE(""https://docs.google.com/spreadsheets/d/1QqKyyYR6Q21VydFLVH3TRQUabQu_ym0Zz7PgGX0-kHA/edit?usp=sharing"",""แผน!EH19"")"),7)</f>
        <v>7</v>
      </c>
      <c r="J340" s="270">
        <f ca="1">IFERROR(__xludf.DUMMYFUNCTION("IMPORTRANGE(""https://docs.google.com/spreadsheets/d/1kVcqe37tkHyjCSG3S0O1AXqVkqjo8mSIZil3BcpIysc/edit?usp=sharing"",""ศูนย์!E19"")"),2)</f>
        <v>2</v>
      </c>
      <c r="K340" s="466">
        <f ca="1">IF(I340&gt;0,J340*100/I340,0)</f>
        <v>28.571428571428573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IFERROR(__xludf.DUMMYFUNCTION("IMPORTRANGE(""https://docs.google.com/spreadsheets/d/1kVcqe37tkHyjCSG3S0O1AXqVkqjo8mSIZil3BcpIysc/edit?usp=sharing"",""ศูนย์!F19"")"),134)</f>
        <v>134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IFERROR(__xludf.DUMMYFUNCTION("IMPORTRANGE(""https://docs.google.com/spreadsheets/d/1kVcqe37tkHyjCSG3S0O1AXqVkqjo8mSIZil3BcpIysc/edit?usp=sharing"",""ศูนย์!G19"")"),6)</f>
        <v>6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IFERROR(__xludf.DUMMYFUNCTION("IMPORTRANGE(""https://docs.google.com/spreadsheets/d/1kVcqe37tkHyjCSG3S0O1AXqVkqjo8mSIZil3BcpIysc/edit?usp=sharing"",""ศูนย์!H19"")"),0)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637150</v>
      </c>
      <c r="M345" s="155">
        <f t="shared" ca="1" si="155"/>
        <v>379380</v>
      </c>
      <c r="N345" s="155">
        <f t="shared" ca="1" si="155"/>
        <v>247990</v>
      </c>
      <c r="O345" s="155">
        <f t="shared" ref="O345:O353" ca="1" si="156">IF(L345&gt;0,N345*100/L345,0)</f>
        <v>38.921760966805302</v>
      </c>
      <c r="P345" s="155">
        <f t="shared" ref="P345:P353" ca="1" si="157">IF(M345&gt;0,N345*100/M345,0)</f>
        <v>65.367178027307716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637150</v>
      </c>
      <c r="M347" s="93">
        <f t="shared" ca="1" si="158"/>
        <v>379380</v>
      </c>
      <c r="N347" s="93">
        <f t="shared" ca="1" si="158"/>
        <v>247990</v>
      </c>
      <c r="O347" s="93">
        <f t="shared" ca="1" si="156"/>
        <v>38.921760966805302</v>
      </c>
      <c r="P347" s="93">
        <f t="shared" ca="1" si="157"/>
        <v>65.367178027307716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515550</v>
      </c>
      <c r="M348" s="466">
        <f t="shared" ca="1" si="159"/>
        <v>257780</v>
      </c>
      <c r="N348" s="466">
        <f t="shared" ca="1" si="159"/>
        <v>126390</v>
      </c>
      <c r="O348" s="466">
        <f t="shared" ca="1" si="156"/>
        <v>24.515565900494618</v>
      </c>
      <c r="P348" s="466">
        <f t="shared" ca="1" si="157"/>
        <v>49.030180774303673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IFERROR(__xludf.DUMMYFUNCTION("IMPORTRANGE(""https://docs.google.com/spreadsheets/d/1MeEWN-I1oV_STSDYn1IFDPWt_1FKiwhDph83XaGc0o0/edit?usp=sharing"",""งบพรบ!EW19"")"),515550)</f>
        <v>515550</v>
      </c>
      <c r="M350" s="93">
        <f ca="1">IFERROR(__xludf.DUMMYFUNCTION("IMPORTRANGE(""https://docs.google.com/spreadsheets/d/1MeEWN-I1oV_STSDYn1IFDPWt_1FKiwhDph83XaGc0o0/edit?usp=sharing"",""งบพรบ!FB19"")"),257780)</f>
        <v>257780</v>
      </c>
      <c r="N350" s="93">
        <f ca="1">IFERROR(__xludf.DUMMYFUNCTION("IMPORTRANGE(""https://docs.google.com/spreadsheets/d/1MeEWN-I1oV_STSDYn1IFDPWt_1FKiwhDph83XaGc0o0/edit?usp=sharing"",""งบพรบ!FD19"")"),126390)</f>
        <v>126390</v>
      </c>
      <c r="O350" s="93">
        <f t="shared" ca="1" si="156"/>
        <v>24.515565900494618</v>
      </c>
      <c r="P350" s="93">
        <f t="shared" ca="1" si="157"/>
        <v>49.030180774303673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121600</v>
      </c>
      <c r="M351" s="466">
        <f t="shared" ca="1" si="160"/>
        <v>121600</v>
      </c>
      <c r="N351" s="466">
        <f t="shared" ca="1" si="160"/>
        <v>121600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IFERROR(__xludf.DUMMYFUNCTION("IMPORTRANGE(""https://docs.google.com/spreadsheets/d/1MeEWN-I1oV_STSDYn1IFDPWt_1FKiwhDph83XaGc0o0/edit?usp=sharing"",""งบพรบ!EZ19"")"),121600)</f>
        <v>121600</v>
      </c>
      <c r="M353" s="93">
        <f ca="1">IFERROR(__xludf.DUMMYFUNCTION("IMPORTRANGE(""https://docs.google.com/spreadsheets/d/1MeEWN-I1oV_STSDYn1IFDPWt_1FKiwhDph83XaGc0o0/edit?usp=sharing"",""งบพรบ!FC19"")"),121600)</f>
        <v>121600</v>
      </c>
      <c r="N353" s="93">
        <f ca="1">IFERROR(__xludf.DUMMYFUNCTION("IMPORTRANGE(""https://docs.google.com/spreadsheets/d/1MeEWN-I1oV_STSDYn1IFDPWt_1FKiwhDph83XaGc0o0/edit?usp=sharing"",""งบพรบ!FE19"")"),121600)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IFERROR(__xludf.DUMMYFUNCTION("IMPORTRANGE(""https://docs.google.com/spreadsheets/d/1QqKyyYR6Q21VydFLVH3TRQUabQu_ym0Zz7PgGX0-kHA/edit?usp=sharing"",""แผน!EP19"")"),200)</f>
        <v>200</v>
      </c>
      <c r="J355" s="433">
        <f ca="1">J362</f>
        <v>36</v>
      </c>
      <c r="K355" s="434">
        <f ca="1">IF(I355&gt;0,J355*100/I355,0)</f>
        <v>18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IFERROR(__xludf.DUMMYFUNCTION("IMPORTRANGE(""https://docs.google.com/spreadsheets/d/1XWAQStnk-4SwqDmLtmXYiTMKHgktTP8We1SCoS47DrQ/edit?usp=sharing"",""จัดที่ดิน!W19"")"),57)</f>
        <v>57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IFERROR(__xludf.DUMMYFUNCTION("IMPORTRANGE(""https://docs.google.com/spreadsheets/d/1QqKyyYR6Q21VydFLVH3TRQUabQu_ym0Zz7PgGX0-kHA/edit?usp=sharing"",""แผน!EO19"")"),1600)</f>
        <v>1600</v>
      </c>
      <c r="J359" s="270">
        <f ca="1">IFERROR(__xludf.DUMMYFUNCTION("IMPORTRANGE(""https://docs.google.com/spreadsheets/d/1XWAQStnk-4SwqDmLtmXYiTMKHgktTP8We1SCoS47DrQ/edit?usp=sharing"",""จัดที่ดิน!X19"")"),249.11)</f>
        <v>249.11</v>
      </c>
      <c r="K359" s="466">
        <f t="shared" ca="1" si="161"/>
        <v>15.569375000000001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IFERROR(__xludf.DUMMYFUNCTION("IMPORTRANGE(""https://docs.google.com/spreadsheets/d/1QqKyyYR6Q21VydFLVH3TRQUabQu_ym0Zz7PgGX0-kHA/edit?usp=sharing"",""แผน!EP19"")"),200)</f>
        <v>200</v>
      </c>
      <c r="J360" s="270">
        <f ca="1">IFERROR(__xludf.DUMMYFUNCTION("IMPORTRANGE(""https://docs.google.com/spreadsheets/d/1XWAQStnk-4SwqDmLtmXYiTMKHgktTP8We1SCoS47DrQ/edit?usp=sharing"",""จัดที่ดิน!Y19"")"),42)</f>
        <v>42</v>
      </c>
      <c r="K360" s="466">
        <f t="shared" ca="1" si="161"/>
        <v>21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IFERROR(__xludf.DUMMYFUNCTION("IMPORTRANGE(""https://docs.google.com/spreadsheets/d/1XWAQStnk-4SwqDmLtmXYiTMKHgktTP8We1SCoS47DrQ/edit?usp=sharing"",""จัดที่ดิน!Z19"")"),169.34)</f>
        <v>169.34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IFERROR(__xludf.DUMMYFUNCTION("IMPORTRANGE(""https://docs.google.com/spreadsheets/d/1QqKyyYR6Q21VydFLVH3TRQUabQu_ym0Zz7PgGX0-kHA/edit?usp=sharing"",""แผน!EP19"")"),200)</f>
        <v>200</v>
      </c>
      <c r="J362" s="270">
        <f ca="1">IFERROR(__xludf.DUMMYFUNCTION("IMPORTRANGE(""https://docs.google.com/spreadsheets/d/1XWAQStnk-4SwqDmLtmXYiTMKHgktTP8We1SCoS47DrQ/edit?usp=sharing"",""จัดที่ดิน!AA19"")"),36)</f>
        <v>36</v>
      </c>
      <c r="K362" s="466">
        <f t="shared" ca="1" si="161"/>
        <v>18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IFERROR(__xludf.DUMMYFUNCTION("IMPORTRANGE(""https://docs.google.com/spreadsheets/d/1XWAQStnk-4SwqDmLtmXYiTMKHgktTP8We1SCoS47DrQ/edit?usp=sharing"",""จัดที่ดิน!AB19"")"),139.56)</f>
        <v>139.56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500</v>
      </c>
      <c r="J364" s="447">
        <f t="shared" ca="1" si="162"/>
        <v>42</v>
      </c>
      <c r="K364" s="448">
        <f t="shared" ca="1" si="161"/>
        <v>8.4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IFERROR(__xludf.DUMMYFUNCTION("IMPORTRANGE(""https://docs.google.com/spreadsheets/d/1QqKyyYR6Q21VydFLVH3TRQUabQu_ym0Zz7PgGX0-kHA/edit?usp=sharing"",""แผน!EJ19"")"),60)</f>
        <v>60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IFERROR(__xludf.DUMMYFUNCTION("IMPORTRANGE(""https://docs.google.com/spreadsheets/d/1XWAQStnk-4SwqDmLtmXYiTMKHgktTP8We1SCoS47DrQ/edit?usp=sharing"",""จัดที่ดิน!E19"")"),21)</f>
        <v>21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IFERROR(__xludf.DUMMYFUNCTION("IMPORTRANGE(""https://docs.google.com/spreadsheets/d/1QqKyyYR6Q21VydFLVH3TRQUabQu_ym0Zz7PgGX0-kHA/edit?usp=sharing"",""แผน!EI19"")"),600)</f>
        <v>600</v>
      </c>
      <c r="J369" s="270">
        <f ca="1">IFERROR(__xludf.DUMMYFUNCTION("IMPORTRANGE(""https://docs.google.com/spreadsheets/d/1XWAQStnk-4SwqDmLtmXYiTMKHgktTP8We1SCoS47DrQ/edit?usp=sharing"",""จัดที่ดิน!F19"")"),109.55)</f>
        <v>109.55</v>
      </c>
      <c r="K369" s="466">
        <f t="shared" ca="1" si="163"/>
        <v>18.258333333333333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IFERROR(__xludf.DUMMYFUNCTION("IMPORTRANGE(""https://docs.google.com/spreadsheets/d/1QqKyyYR6Q21VydFLVH3TRQUabQu_ym0Zz7PgGX0-kHA/edit?usp=sharing"",""แผน!EJ19"")"),60)</f>
        <v>60</v>
      </c>
      <c r="J370" s="270">
        <f ca="1">IFERROR(__xludf.DUMMYFUNCTION("IMPORTRANGE(""https://docs.google.com/spreadsheets/d/1XWAQStnk-4SwqDmLtmXYiTMKHgktTP8We1SCoS47DrQ/edit?usp=sharing"",""จัดที่ดิน!G19"")"),6)</f>
        <v>6</v>
      </c>
      <c r="K370" s="466">
        <f t="shared" ca="1" si="163"/>
        <v>10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IFERROR(__xludf.DUMMYFUNCTION("IMPORTRANGE(""https://docs.google.com/spreadsheets/d/1XWAQStnk-4SwqDmLtmXYiTMKHgktTP8We1SCoS47DrQ/edit?usp=sharing"",""จัดที่ดิน!H19"")"),29.78)</f>
        <v>29.78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IFERROR(__xludf.DUMMYFUNCTION("IMPORTRANGE(""https://docs.google.com/spreadsheets/d/1QqKyyYR6Q21VydFLVH3TRQUabQu_ym0Zz7PgGX0-kHA/edit?usp=sharing"",""แผน!EJ19"")"),60)</f>
        <v>60</v>
      </c>
      <c r="J372" s="270">
        <f ca="1">IFERROR(__xludf.DUMMYFUNCTION("IMPORTRANGE(""https://docs.google.com/spreadsheets/d/1XWAQStnk-4SwqDmLtmXYiTMKHgktTP8We1SCoS47DrQ/edit?usp=sharing"",""จัดที่ดิน!I19"")"),0)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IFERROR(__xludf.DUMMYFUNCTION("IMPORTRANGE(""https://docs.google.com/spreadsheets/d/1XWAQStnk-4SwqDmLtmXYiTMKHgktTP8We1SCoS47DrQ/edit?usp=sharing"",""จัดที่ดิน!J19"")"),0)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IFERROR(__xludf.DUMMYFUNCTION("IMPORTRANGE(""https://docs.google.com/spreadsheets/d/1QqKyyYR6Q21VydFLVH3TRQUabQu_ym0Zz7PgGX0-kHA/edit?usp=sharing"",""แผน!EU19"")"),440)</f>
        <v>440</v>
      </c>
      <c r="J374" s="459">
        <f ca="1">J381</f>
        <v>42</v>
      </c>
      <c r="K374" s="460">
        <f t="shared" ca="1" si="163"/>
        <v>9.545454545454545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IFERROR(__xludf.DUMMYFUNCTION("IMPORTRANGE(""https://docs.google.com/spreadsheets/d/1XWAQStnk-4SwqDmLtmXYiTMKHgktTP8We1SCoS47DrQ/edit?usp=sharing"",""จัดที่ดิน!AH19"")"),36)</f>
        <v>36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IFERROR(__xludf.DUMMYFUNCTION("IMPORTRANGE(""https://docs.google.com/spreadsheets/d/1QqKyyYR6Q21VydFLVH3TRQUabQu_ym0Zz7PgGX0-kHA/edit?usp=sharing"",""แผน!ET19"")"),1000)</f>
        <v>1000</v>
      </c>
      <c r="J378" s="270">
        <f ca="1">IFERROR(__xludf.DUMMYFUNCTION("IMPORTRANGE(""https://docs.google.com/spreadsheets/d/1XWAQStnk-4SwqDmLtmXYiTMKHgktTP8We1SCoS47DrQ/edit?usp=sharing"",""จัดที่ดิน!AI19"")"),139.56)</f>
        <v>139.56</v>
      </c>
      <c r="K378" s="466">
        <f t="shared" ca="1" si="164"/>
        <v>13.956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IFERROR(__xludf.DUMMYFUNCTION("IMPORTRANGE(""https://docs.google.com/spreadsheets/d/1QqKyyYR6Q21VydFLVH3TRQUabQu_ym0Zz7PgGX0-kHA/edit?usp=sharing"",""แผน!EU19"")"),440)</f>
        <v>440</v>
      </c>
      <c r="J379" s="270">
        <f ca="1">IFERROR(__xludf.DUMMYFUNCTION("IMPORTRANGE(""https://docs.google.com/spreadsheets/d/1XWAQStnk-4SwqDmLtmXYiTMKHgktTP8We1SCoS47DrQ/edit?usp=sharing"",""จัดที่ดิน!AJ19"")"),42)</f>
        <v>42</v>
      </c>
      <c r="K379" s="466">
        <f t="shared" ca="1" si="164"/>
        <v>9.545454545454545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IFERROR(__xludf.DUMMYFUNCTION("IMPORTRANGE(""https://docs.google.com/spreadsheets/d/1XWAQStnk-4SwqDmLtmXYiTMKHgktTP8We1SCoS47DrQ/edit?usp=sharing"",""จัดที่ดิน!AK19"")"),151.22)</f>
        <v>151.22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IFERROR(__xludf.DUMMYFUNCTION("IMPORTRANGE(""https://docs.google.com/spreadsheets/d/1QqKyyYR6Q21VydFLVH3TRQUabQu_ym0Zz7PgGX0-kHA/edit?usp=sharing"",""แผน!EU19"")"),440)</f>
        <v>440</v>
      </c>
      <c r="J381" s="270">
        <f ca="1">IFERROR(__xludf.DUMMYFUNCTION("IMPORTRANGE(""https://docs.google.com/spreadsheets/d/1XWAQStnk-4SwqDmLtmXYiTMKHgktTP8We1SCoS47DrQ/edit?usp=sharing"",""จัดที่ดิน!AL19"")"),42)</f>
        <v>42</v>
      </c>
      <c r="K381" s="466">
        <f t="shared" ca="1" si="164"/>
        <v>9.545454545454545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IFERROR(__xludf.DUMMYFUNCTION("IMPORTRANGE(""https://docs.google.com/spreadsheets/d/1XWAQStnk-4SwqDmLtmXYiTMKHgktTP8We1SCoS47DrQ/edit?usp=sharing"",""จัดที่ดิน!AM19"")"),151.22)</f>
        <v>151.22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IFERROR(__xludf.DUMMYFUNCTION("IMPORTRANGE(""https://docs.google.com/spreadsheets/d/1QqKyyYR6Q21VydFLVH3TRQUabQu_ym0Zz7PgGX0-kHA/edit?usp=sharing"",""แผน!EW19"")"),50)</f>
        <v>50</v>
      </c>
      <c r="J385" s="469">
        <f ca="1">IFERROR(__xludf.DUMMYFUNCTION("IMPORTRANGE(""https://docs.google.com/spreadsheets/d/1XWAQStnk-4SwqDmLtmXYiTMKHgktTP8We1SCoS47DrQ/edit?usp=sharing"",""จัดที่ดิน!AP19"")"),8)</f>
        <v>8</v>
      </c>
      <c r="K385" s="470">
        <f ca="1">IF(I385&gt;0,J385*100/I385,0)</f>
        <v>16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IFERROR(__xludf.DUMMYFUNCTION("IMPORTRANGE(""https://docs.google.com/spreadsheets/d/1MeEWN-I1oV_STSDYn1IFDPWt_1FKiwhDph83XaGc0o0/edit?usp=sharing"",""งบพรบ!FG19"")"),0)</f>
        <v>0</v>
      </c>
      <c r="M394" s="93">
        <f ca="1">IFERROR(__xludf.DUMMYFUNCTION("IMPORTRANGE(""https://docs.google.com/spreadsheets/d/1MeEWN-I1oV_STSDYn1IFDPWt_1FKiwhDph83XaGc0o0/edit?usp=sharing"",""งบพรบ!FL19"")"),0)</f>
        <v>0</v>
      </c>
      <c r="N394" s="93">
        <f ca="1">IFERROR(__xludf.DUMMYFUNCTION("IMPORTRANGE(""https://docs.google.com/spreadsheets/d/1MeEWN-I1oV_STSDYn1IFDPWt_1FKiwhDph83XaGc0o0/edit?usp=sharing"",""งบพรบ!FN19"")"),0)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IFERROR(__xludf.DUMMYFUNCTION("IMPORTRANGE(""https://docs.google.com/spreadsheets/d/1MeEWN-I1oV_STSDYn1IFDPWt_1FKiwhDph83XaGc0o0/edit?usp=sharing"",""งบพรบ!FJ19"")"),0)</f>
        <v>0</v>
      </c>
      <c r="M397" s="93">
        <f ca="1">IFERROR(__xludf.DUMMYFUNCTION("IMPORTRANGE(""https://docs.google.com/spreadsheets/d/1MeEWN-I1oV_STSDYn1IFDPWt_1FKiwhDph83XaGc0o0/edit?usp=sharing"",""งบพรบ!FM19"")"),0)</f>
        <v>0</v>
      </c>
      <c r="N397" s="93">
        <f ca="1">IFERROR(__xludf.DUMMYFUNCTION("IMPORTRANGE(""https://docs.google.com/spreadsheets/d/1MeEWN-I1oV_STSDYn1IFDPWt_1FKiwhDph83XaGc0o0/edit?usp=sharing"",""งบพรบ!FO19"")"),0)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IFERROR(__xludf.DUMMYFUNCTION("IMPORTRANGE(""https://docs.google.com/spreadsheets/d/1MeEWN-I1oV_STSDYn1IFDPWt_1FKiwhDph83XaGc0o0/edit?usp=sharing"",""งบพรบ!FQ19"")"),0)</f>
        <v>0</v>
      </c>
      <c r="M407" s="93">
        <f ca="1">IFERROR(__xludf.DUMMYFUNCTION("IMPORTRANGE(""https://docs.google.com/spreadsheets/d/1MeEWN-I1oV_STSDYn1IFDPWt_1FKiwhDph83XaGc0o0/edit?usp=sharing"",""งบพรบ!FV19"")"),0)</f>
        <v>0</v>
      </c>
      <c r="N407" s="93">
        <f ca="1">IFERROR(__xludf.DUMMYFUNCTION("IMPORTRANGE(""https://docs.google.com/spreadsheets/d/1MeEWN-I1oV_STSDYn1IFDPWt_1FKiwhDph83XaGc0o0/edit?usp=sharing"",""งบพรบ!FX19"")"),0)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IFERROR(__xludf.DUMMYFUNCTION("IMPORTRANGE(""https://docs.google.com/spreadsheets/d/1MeEWN-I1oV_STSDYn1IFDPWt_1FKiwhDph83XaGc0o0/edit?usp=sharing"",""งบพรบ!FT19"")"),0)</f>
        <v>0</v>
      </c>
      <c r="M410" s="93">
        <f ca="1">IFERROR(__xludf.DUMMYFUNCTION("IMPORTRANGE(""https://docs.google.com/spreadsheets/d/1MeEWN-I1oV_STSDYn1IFDPWt_1FKiwhDph83XaGc0o0/edit?usp=sharing"",""งบพรบ!FW19"")"),0)</f>
        <v>0</v>
      </c>
      <c r="N410" s="93">
        <f ca="1">IFERROR(__xludf.DUMMYFUNCTION("IMPORTRANGE(""https://docs.google.com/spreadsheets/d/1MeEWN-I1oV_STSDYn1IFDPWt_1FKiwhDph83XaGc0o0/edit?usp=sharing"",""งบพรบ!FY19"")"),0)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1720872</v>
      </c>
      <c r="M414" s="517">
        <f t="shared" si="181"/>
        <v>0</v>
      </c>
      <c r="N414" s="517">
        <f t="shared" si="181"/>
        <v>300088</v>
      </c>
      <c r="O414" s="517">
        <f ca="1">IF(L414&gt;0,N414*100/L414,0)</f>
        <v>17.438136014764609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100160</v>
      </c>
      <c r="M419" s="155">
        <f t="shared" si="184"/>
        <v>0</v>
      </c>
      <c r="N419" s="155">
        <f t="shared" si="184"/>
        <v>42745</v>
      </c>
      <c r="O419" s="155">
        <f t="shared" ref="O419:O424" ca="1" si="185">IF(L419&gt;0,N419*100/L419,0)</f>
        <v>42.676717252396166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100160</v>
      </c>
      <c r="M421" s="93">
        <f t="shared" si="187"/>
        <v>0</v>
      </c>
      <c r="N421" s="93">
        <f t="shared" si="187"/>
        <v>42745</v>
      </c>
      <c r="O421" s="93">
        <f t="shared" ca="1" si="185"/>
        <v>42.676717252396166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100160</v>
      </c>
      <c r="M422" s="466">
        <f t="shared" si="188"/>
        <v>0</v>
      </c>
      <c r="N422" s="466">
        <f t="shared" si="188"/>
        <v>42745</v>
      </c>
      <c r="O422" s="466">
        <f t="shared" ca="1" si="185"/>
        <v>42.676717252396166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IFERROR(__xludf.DUMMYFUNCTION("IMPORTRANGE(""https://docs.google.com/spreadsheets/d/1QqKyyYR6Q21VydFLVH3TRQUabQu_ym0Zz7PgGX0-kHA/edit?usp=sharing"",""แผน!EY19"")"),100160)</f>
        <v>100160</v>
      </c>
      <c r="M424" s="93">
        <v>0</v>
      </c>
      <c r="N424" s="93">
        <f>N425+N426+N427+N428</f>
        <v>42745</v>
      </c>
      <c r="O424" s="93">
        <f t="shared" ca="1" si="185"/>
        <v>42.676717252396166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39625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3120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1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IFERROR(__xludf.DUMMYFUNCTION("IMPORTRANGE(""https://docs.google.com/spreadsheets/d/1QqKyyYR6Q21VydFLVH3TRQUabQu_ym0Zz7PgGX0-kHA/edit?usp=sharing"",""แผน!FC19"")"),20)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IFERROR(__xludf.DUMMYFUNCTION("IMPORTRANGE(""https://docs.google.com/spreadsheets/d/1QqKyyYR6Q21VydFLVH3TRQUabQu_ym0Zz7PgGX0-kHA/edit?usp=sharing"",""แผน!FD19"")"),0)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IFERROR(__xludf.DUMMYFUNCTION("IMPORTRANGE(""https://docs.google.com/spreadsheets/d/1QqKyyYR6Q21VydFLVH3TRQUabQu_ym0Zz7PgGX0-kHA/edit?usp=sharing"",""แผน!FF19"")"),20)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IFERROR(__xludf.DUMMYFUNCTION("IMPORTRANGE(""https://docs.google.com/spreadsheets/d/1QqKyyYR6Q21VydFLVH3TRQUabQu_ym0Zz7PgGX0-kHA/edit?usp=sharing"",""แผน!FG19"")"),1)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45</v>
      </c>
      <c r="J442" s="555">
        <f t="shared" si="195"/>
        <v>45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110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358780</v>
      </c>
      <c r="M444" s="195">
        <f t="shared" si="197"/>
        <v>0</v>
      </c>
      <c r="N444" s="195">
        <f t="shared" si="197"/>
        <v>65638</v>
      </c>
      <c r="O444" s="195">
        <f t="shared" ref="O444:O449" ca="1" si="198">IF(L444&gt;0,N444*100/L444,0)</f>
        <v>18.294776743408217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358780</v>
      </c>
      <c r="M446" s="93">
        <f t="shared" si="200"/>
        <v>0</v>
      </c>
      <c r="N446" s="93">
        <f t="shared" si="200"/>
        <v>65638</v>
      </c>
      <c r="O446" s="93">
        <f t="shared" ca="1" si="198"/>
        <v>18.294776743408217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358780</v>
      </c>
      <c r="M447" s="466">
        <f t="shared" si="201"/>
        <v>0</v>
      </c>
      <c r="N447" s="466">
        <f t="shared" si="201"/>
        <v>65638</v>
      </c>
      <c r="O447" s="466">
        <f t="shared" ca="1" si="198"/>
        <v>18.294776743408217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IFERROR(__xludf.DUMMYFUNCTION("IMPORTRANGE(""https://docs.google.com/spreadsheets/d/1QqKyyYR6Q21VydFLVH3TRQUabQu_ym0Zz7PgGX0-kHA/edit?usp=sharing"",""แผน!FJ19"")"),358780)</f>
        <v>358780</v>
      </c>
      <c r="M449" s="93">
        <v>0</v>
      </c>
      <c r="N449" s="93">
        <f>N450+N451+N452+N453</f>
        <v>65638</v>
      </c>
      <c r="O449" s="93">
        <f t="shared" ca="1" si="198"/>
        <v>18.294776743408217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23658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39000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2980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IFERROR(__xludf.DUMMYFUNCTION("IMPORTRANGE(""https://docs.google.com/spreadsheets/d/1QqKyyYR6Q21VydFLVH3TRQUabQu_ym0Zz7PgGX0-kHA/edit?usp=sharing"",""แผน!FN19"")"),45)</f>
        <v>45</v>
      </c>
      <c r="J460" s="215">
        <v>45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IFERROR(__xludf.DUMMYFUNCTION("IMPORTRANGE(""https://docs.google.com/spreadsheets/d/1QqKyyYR6Q21VydFLVH3TRQUabQu_ym0Zz7PgGX0-kHA/edit?usp=sharing"",""แผน!FO19"")"),110)</f>
        <v>110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IFERROR(__xludf.DUMMYFUNCTION("IMPORTRANGE(""https://docs.google.com/spreadsheets/d/1QqKyyYR6Q21VydFLVH3TRQUabQu_ym0Zz7PgGX0-kHA/edit?usp=sharing"",""แผน!FO19"")"),110)</f>
        <v>110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IFERROR(__xludf.DUMMYFUNCTION("IMPORTRANGE(""https://docs.google.com/spreadsheets/d/1QqKyyYR6Q21VydFLVH3TRQUabQu_ym0Zz7PgGX0-kHA/edit?usp=sharing"",""แผน!FN19"")"),45)</f>
        <v>45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IFERROR(__xludf.DUMMYFUNCTION("IMPORTRANGE(""https://docs.google.com/spreadsheets/d/1QqKyyYR6Q21VydFLVH3TRQUabQu_ym0Zz7PgGX0-kHA/edit?usp=sharing"",""แผน!FX19"")"),61)</f>
        <v>61</v>
      </c>
      <c r="J465" s="555">
        <f>J485+J489+J492</f>
        <v>61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IFERROR(__xludf.DUMMYFUNCTION("IMPORTRANGE(""https://docs.google.com/spreadsheets/d/1QqKyyYR6Q21VydFLVH3TRQUabQu_ym0Zz7PgGX0-kHA/edit?usp=sharing"",""แผน!FW19"")"),600)</f>
        <v>600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491293</v>
      </c>
      <c r="M467" s="195">
        <f t="shared" si="206"/>
        <v>0</v>
      </c>
      <c r="N467" s="195">
        <f t="shared" si="206"/>
        <v>77510</v>
      </c>
      <c r="O467" s="195">
        <f t="shared" ref="O467:O472" ca="1" si="207">IF(L467&gt;0,N467*100/L467,0)</f>
        <v>15.776736082134287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491293</v>
      </c>
      <c r="M469" s="93">
        <f t="shared" si="209"/>
        <v>0</v>
      </c>
      <c r="N469" s="93">
        <f t="shared" si="209"/>
        <v>77510</v>
      </c>
      <c r="O469" s="93">
        <f t="shared" ca="1" si="207"/>
        <v>15.776736082134287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491293</v>
      </c>
      <c r="M470" s="466">
        <f t="shared" si="210"/>
        <v>0</v>
      </c>
      <c r="N470" s="466">
        <f t="shared" si="210"/>
        <v>77510</v>
      </c>
      <c r="O470" s="466">
        <f t="shared" ca="1" si="207"/>
        <v>15.776736082134287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IFERROR(__xludf.DUMMYFUNCTION("IMPORTRANGE(""https://docs.google.com/spreadsheets/d/1QqKyyYR6Q21VydFLVH3TRQUabQu_ym0Zz7PgGX0-kHA/edit?usp=sharing"",""แผน!FS19"")"),491293)</f>
        <v>491293</v>
      </c>
      <c r="M472" s="93">
        <v>0</v>
      </c>
      <c r="N472" s="93">
        <f>N473+N474+N475+N476</f>
        <v>77510</v>
      </c>
      <c r="O472" s="93">
        <f t="shared" ca="1" si="207"/>
        <v>15.776736082134287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71830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5680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IFERROR(__xludf.DUMMYFUNCTION("IMPORTRANGE(""https://docs.google.com/spreadsheets/d/1QqKyyYR6Q21VydFLVH3TRQUabQu_ym0Zz7PgGX0-kHA/edit?usp=sharing"",""แผน!FY19"")"),540)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54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IFERROR(__xludf.DUMMYFUNCTION("IMPORTRANGE(""https://docs.google.com/spreadsheets/d/1QqKyyYR6Q21VydFLVH3TRQUabQu_ym0Zz7PgGX0-kHA/edit?usp=sharing"",""แผน!FZ19"")"),54)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IFERROR(__xludf.DUMMYFUNCTION("IMPORTRANGE(""https://docs.google.com/spreadsheets/d/1QqKyyYR6Q21VydFLVH3TRQUabQu_ym0Zz7PgGX0-kHA/edit?usp=sharing"",""แผน!GA19"")"),60)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6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IFERROR(__xludf.DUMMYFUNCTION("IMPORTRANGE(""https://docs.google.com/spreadsheets/d/1QqKyyYR6Q21VydFLVH3TRQUabQu_ym0Zz7PgGX0-kHA/edit?usp=sharing"",""แผน!GB19"")"),6)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IFERROR(__xludf.DUMMYFUNCTION("IMPORTRANGE(""https://docs.google.com/spreadsheets/d/1QqKyyYR6Q21VydFLVH3TRQUabQu_ym0Zz7PgGX0-kHA/edit?usp=sharing"",""แผน!GC19"")"),1)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IFERROR(__xludf.DUMMYFUNCTION("IMPORTRANGE(""https://docs.google.com/spreadsheets/d/1QqKyyYR6Q21VydFLVH3TRQUabQu_ym0Zz7PgGX0-kHA/edit?usp=sharing"",""แผน!FY19"")"),540)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IFERROR(__xludf.DUMMYFUNCTION("IMPORTRANGE(""https://docs.google.com/spreadsheets/d/1QqKyyYR6Q21VydFLVH3TRQUabQu_ym0Zz7PgGX0-kHA/edit?usp=sharing"",""แผน!GA19"")"),60)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IFERROR(__xludf.DUMMYFUNCTION("IMPORTRANGE(""https://docs.google.com/spreadsheets/d/1QqKyyYR6Q21VydFLVH3TRQUabQu_ym0Zz7PgGX0-kHA/edit?usp=sharing"",""แผน!GU19"")"),0)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41986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396294</v>
      </c>
      <c r="M544" s="155">
        <f t="shared" si="236"/>
        <v>0</v>
      </c>
      <c r="N544" s="155">
        <f t="shared" si="236"/>
        <v>72195</v>
      </c>
      <c r="O544" s="155">
        <f t="shared" ref="O544:O549" ca="1" si="237">IF(L544&gt;0,N544*100/L544,0)</f>
        <v>18.217535466093356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396294</v>
      </c>
      <c r="M546" s="93">
        <f t="shared" si="240"/>
        <v>0</v>
      </c>
      <c r="N546" s="93">
        <f t="shared" si="240"/>
        <v>72195</v>
      </c>
      <c r="O546" s="93">
        <f t="shared" ca="1" si="237"/>
        <v>18.217535466093356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396294</v>
      </c>
      <c r="M547" s="466">
        <f t="shared" si="241"/>
        <v>0</v>
      </c>
      <c r="N547" s="466">
        <f t="shared" si="241"/>
        <v>72195</v>
      </c>
      <c r="O547" s="466">
        <f t="shared" ca="1" si="237"/>
        <v>18.217535466093356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IFERROR(__xludf.DUMMYFUNCTION("IMPORTRANGE(""https://docs.google.com/spreadsheets/d/1QqKyyYR6Q21VydFLVH3TRQUabQu_ym0Zz7PgGX0-kHA/edit?usp=sharing"",""แผน!HB19"")"),396294)</f>
        <v>396294</v>
      </c>
      <c r="M549" s="93">
        <v>0</v>
      </c>
      <c r="N549" s="93">
        <f>N550+N551+N552+N553+N554</f>
        <v>72195</v>
      </c>
      <c r="O549" s="93">
        <f t="shared" ca="1" si="237"/>
        <v>18.217535466093356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39000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33195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41986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IFERROR(__xludf.DUMMYFUNCTION("IMPORTRANGE(""https://docs.google.com/spreadsheets/d/1QqKyyYR6Q21VydFLVH3TRQUabQu_ym0Zz7PgGX0-kHA/edit?usp=sharing"",""แผน!HH19"")"),41986)</f>
        <v>41986</v>
      </c>
      <c r="J560" s="193">
        <f t="shared" ref="J560:J561" si="247">J562+J564+J566</f>
        <v>18178.37</v>
      </c>
      <c r="K560" s="380">
        <f t="shared" ca="1" si="246"/>
        <v>43.29626542180727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IFERROR(__xludf.DUMMYFUNCTION("IMPORTRANGE(""https://docs.google.com/spreadsheets/d/1QqKyyYR6Q21VydFLVH3TRQUabQu_ym0Zz7PgGX0-kHA/edit?usp=sharing"",""แผน!HG19"")"),12241)</f>
        <v>12241</v>
      </c>
      <c r="J561" s="193">
        <f t="shared" si="247"/>
        <v>5768</v>
      </c>
      <c r="K561" s="380">
        <f t="shared" ca="1" si="246"/>
        <v>47.120333306102445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16458.330000000002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5277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752.44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135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967.6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356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IFERROR(__xludf.DUMMYFUNCTION("IMPORTRANGE(""https://docs.google.com/spreadsheets/d/1QqKyyYR6Q21VydFLVH3TRQUabQu_ym0Zz7PgGX0-kHA/edit?usp=sharing"",""แผน!HH19"")"),41986)</f>
        <v>41986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IFERROR(__xludf.DUMMYFUNCTION("IMPORTRANGE(""https://docs.google.com/spreadsheets/d/1QqKyyYR6Q21VydFLVH3TRQUabQu_ym0Zz7PgGX0-kHA/edit?usp=sharing"",""แผน!HG19"")"),12241)</f>
        <v>12241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IFERROR(__xludf.DUMMYFUNCTION("IMPORTRANGE(""https://docs.google.com/spreadsheets/d/1QqKyyYR6Q21VydFLVH3TRQUabQu_ym0Zz7PgGX0-kHA/edit?usp=sharing"",""แผน!HH19"")"),41986)</f>
        <v>41986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IFERROR(__xludf.DUMMYFUNCTION("IMPORTRANGE(""https://docs.google.com/spreadsheets/d/1QqKyyYR6Q21VydFLVH3TRQUabQu_ym0Zz7PgGX0-kHA/edit?usp=sharing"",""แผน!HG19"")"),12241)</f>
        <v>12241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1776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IFERROR(__xludf.DUMMYFUNCTION("IMPORTRANGE(""https://docs.google.com/spreadsheets/d/1QqKyyYR6Q21VydFLVH3TRQUabQu_ym0Zz7PgGX0-kHA/edit?usp=sharing"",""แผน!HJ19"")"),1776)</f>
        <v>1776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IFERROR(__xludf.DUMMYFUNCTION("IMPORTRANGE(""https://docs.google.com/spreadsheets/d/1QqKyyYR6Q21VydFLVH3TRQUabQu_ym0Zz7PgGX0-kHA/edit?usp=sharing"",""แผน!HI19"")"),190)</f>
        <v>190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IFERROR(__xludf.DUMMYFUNCTION("IMPORTRANGE(""https://docs.google.com/spreadsheets/d/1QqKyyYR6Q21VydFLVH3TRQUabQu_ym0Zz7PgGX0-kHA/edit?usp=sharing"",""แผน!HL19"")"),0)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IFERROR(__xludf.DUMMYFUNCTION("IMPORTRANGE(""https://docs.google.com/spreadsheets/d/1QqKyyYR6Q21VydFLVH3TRQUabQu_ym0Zz7PgGX0-kHA/edit?usp=sharing"",""แผน!HK19"")"),0)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70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374345</v>
      </c>
      <c r="M629" s="195">
        <f t="shared" si="263"/>
        <v>0</v>
      </c>
      <c r="N629" s="195">
        <f t="shared" si="263"/>
        <v>42000</v>
      </c>
      <c r="O629" s="195">
        <f t="shared" ref="O629:O634" ca="1" si="264">IF(L629&gt;0,N629*100/L629,0)</f>
        <v>11.219596895911526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374345</v>
      </c>
      <c r="M631" s="93">
        <f t="shared" si="266"/>
        <v>0</v>
      </c>
      <c r="N631" s="93">
        <f t="shared" si="266"/>
        <v>42000</v>
      </c>
      <c r="O631" s="93">
        <f t="shared" ca="1" si="264"/>
        <v>11.219596895911526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374345</v>
      </c>
      <c r="M632" s="466">
        <f t="shared" si="267"/>
        <v>0</v>
      </c>
      <c r="N632" s="466">
        <f t="shared" si="267"/>
        <v>42000</v>
      </c>
      <c r="O632" s="466">
        <f t="shared" ca="1" si="264"/>
        <v>11.219596895911526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IFERROR(__xludf.DUMMYFUNCTION("IMPORTRANGE(""https://docs.google.com/spreadsheets/d/1QqKyyYR6Q21VydFLVH3TRQUabQu_ym0Zz7PgGX0-kHA/edit?usp=sharing"",""แผน!HN19"")"),374345)</f>
        <v>374345</v>
      </c>
      <c r="M634" s="93">
        <v>0</v>
      </c>
      <c r="N634" s="93">
        <f>N635+N636+N637+N638</f>
        <v>42000</v>
      </c>
      <c r="O634" s="93">
        <f t="shared" ca="1" si="264"/>
        <v>11.219596895911526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39000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3000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IFERROR(__xludf.DUMMYFUNCTION("IMPORTRANGE(""https://docs.google.com/spreadsheets/d/1QqKyyYR6Q21VydFLVH3TRQUabQu_ym0Zz7PgGX0-kHA/edit?usp=sharing"",""แผน!HR19"")"),1)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IFERROR(__xludf.DUMMYFUNCTION("IMPORTRANGE(""https://docs.google.com/spreadsheets/d/1QqKyyYR6Q21VydFLVH3TRQUabQu_ym0Zz7PgGX0-kHA/edit?usp=sharing"",""แผน!HR19"")"),1)</f>
        <v>1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IFERROR(__xludf.DUMMYFUNCTION("IMPORTRANGE(""https://docs.google.com/spreadsheets/d/1XWAQStnk-4SwqDmLtmXYiTMKHgktTP8We1SCoS47DrQ/edit?usp=sharing"",""จัดที่ดิน!AS19"")"),1)</f>
        <v>1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916">
        <f ca="1">IFERROR(__xludf.DUMMYFUNCTION("IMPORTRANGE(""https://docs.google.com/spreadsheets/d/1XWAQStnk-4SwqDmLtmXYiTMKHgktTP8We1SCoS47DrQ/edit?usp=sharing"",""จัดที่ดิน!AT19"")"),0.04)</f>
        <v>0.04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IFERROR(__xludf.DUMMYFUNCTION("IMPORTRANGE(""https://docs.google.com/spreadsheets/d/1QqKyyYR6Q21VydFLVH3TRQUabQu_ym0Zz7PgGX0-kHA/edit?usp=sharing"",""แผน!HS19"")"),70)</f>
        <v>70</v>
      </c>
      <c r="J647" s="270">
        <f ca="1">IFERROR(__xludf.DUMMYFUNCTION("IMPORTRANGE(""https://docs.google.com/spreadsheets/d/1XWAQStnk-4SwqDmLtmXYiTMKHgktTP8We1SCoS47DrQ/edit?usp=sharing"",""จัดที่ดิน!AU19"")"),0)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IFERROR(__xludf.DUMMYFUNCTION("IMPORTRANGE(""https://docs.google.com/spreadsheets/d/1XWAQStnk-4SwqDmLtmXYiTMKHgktTP8We1SCoS47DrQ/edit?usp=sharing"",""จัดที่ดิน!AV19"")"),0)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IFERROR(__xludf.DUMMYFUNCTION("IMPORTRANGE(""https://docs.google.com/spreadsheets/d/1QqKyyYR6Q21VydFLVH3TRQUabQu_ym0Zz7PgGX0-kHA/edit?usp=sharing"",""แผน!HS19"")"),70)</f>
        <v>70</v>
      </c>
      <c r="J649" s="270">
        <f ca="1">IFERROR(__xludf.DUMMYFUNCTION("IMPORTRANGE(""https://docs.google.com/spreadsheets/d/1XWAQStnk-4SwqDmLtmXYiTMKHgktTP8We1SCoS47DrQ/edit?usp=sharing"",""จัดที่ดิน!AW19"")"),0)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IFERROR(__xludf.DUMMYFUNCTION("IMPORTRANGE(""https://docs.google.com/spreadsheets/d/1QqKyyYR6Q21VydFLVH3TRQUabQu_ym0Zz7PgGX0-kHA/edit?usp=sharing"",""แผน!HS19"")"),70)</f>
        <v>70</v>
      </c>
      <c r="J651" s="270">
        <f ca="1">IFERROR(__xludf.DUMMYFUNCTION("IMPORTRANGE(""https://docs.google.com/spreadsheets/d/1XWAQStnk-4SwqDmLtmXYiTMKHgktTP8We1SCoS47DrQ/edit?usp=sharing"",""จัดที่ดิน!AY19"")"),0)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IFERROR(__xludf.DUMMYFUNCTION("IMPORTRANGE(""https://docs.google.com/spreadsheets/d/1XWAQStnk-4SwqDmLtmXYiTMKHgktTP8We1SCoS47DrQ/edit?usp=sharing"",""จัดที่ดิน!AZ19"")"),0)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IFERROR(__xludf.DUMMYFUNCTION("IMPORTRANGE(""https://docs.google.com/spreadsheets/d/1QqKyyYR6Q21VydFLVH3TRQUabQu_ym0Zz7PgGX0-kHA/edit?usp=sharing"",""แผน!IA19"")"),0)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IFERROR(__xludf.DUMMYFUNCTION("IMPORTRANGE(""https://docs.google.com/spreadsheets/d/1QqKyyYR6Q21VydFLVH3TRQUabQu_ym0Zz7PgGX0-kHA/edit?usp=sharing"",""แผน!HZ19"")"),0)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IFERROR(__xludf.DUMMYFUNCTION("IMPORTRANGE(""https://docs.google.com/spreadsheets/d/1QqKyyYR6Q21VydFLVH3TRQUabQu_ym0Zz7PgGX0-kHA/edit?usp=sharing"",""แผน!HZ19"")"),0)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IFERROR(__xludf.DUMMYFUNCTION("IMPORTRANGE(""https://docs.google.com/spreadsheets/d/1QqKyyYR6Q21VydFLVH3TRQUabQu_ym0Zz7PgGX0-kHA/edit?usp=sharing"",""แผน!IB19"")"),0)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IFERROR(__xludf.DUMMYFUNCTION("IMPORTRANGE(""https://docs.google.com/spreadsheets/d/1QqKyyYR6Q21VydFLVH3TRQUabQu_ym0Zz7PgGX0-kHA/edit?usp=sharing"",""แผน!IC19"")"),0)</f>
        <v>0</v>
      </c>
      <c r="J699" s="270">
        <f ca="1">IFERROR(__xludf.DUMMYFUNCTION("IMPORTRANGE(""https://docs.google.com/spreadsheets/d/1XWAQStnk-4SwqDmLtmXYiTMKHgktTP8We1SCoS47DrQ/edit?usp=sharing"",""จัดที่ดิน!BB19"")"),0)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IFERROR(__xludf.DUMMYFUNCTION("IMPORTRANGE(""https://docs.google.com/spreadsheets/d/1QqKyyYR6Q21VydFLVH3TRQUabQu_ym0Zz7PgGX0-kHA/edit?usp=sharing"",""แผน!ID19"")"),0)</f>
        <v>0</v>
      </c>
      <c r="J700" s="270">
        <f ca="1">IFERROR(__xludf.DUMMYFUNCTION("IMPORTRANGE(""https://docs.google.com/spreadsheets/d/1XWAQStnk-4SwqDmLtmXYiTMKHgktTP8We1SCoS47DrQ/edit?usp=sharing"",""จัดที่ดิน!BD19"")"),0)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IFERROR(__xludf.DUMMYFUNCTION("IMPORTRANGE(""https://docs.google.com/spreadsheets/d/1QqKyyYR6Q21VydFLVH3TRQUabQu_ym0Zz7PgGX0-kHA/edit?usp=sharing"",""แผน!IE19"")"),0)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IFERROR(__xludf.DUMMYFUNCTION("IMPORTRANGE(""https://docs.google.com/spreadsheets/d/1QqKyyYR6Q21VydFLVH3TRQUabQu_ym0Zz7PgGX0-kHA/edit?usp=sharing"",""แผน!IF19"")"),0)</f>
        <v>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IFERROR(__xludf.DUMMYFUNCTION("IMPORTRANGE(""https://docs.google.com/spreadsheets/d/1QqKyyYR6Q21VydFLVH3TRQUabQu_ym0Zz7PgGX0-kHA/edit?usp=sharing"",""แผน!IG19"")"),0)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IFERROR(__xludf.DUMMYFUNCTION("IMPORTRANGE(""https://docs.google.com/spreadsheets/d/1QqKyyYR6Q21VydFLVH3TRQUabQu_ym0Zz7PgGX0-kHA/edit?usp=sharing"",""แผน!IH19"")"),0)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IFERROR(__xludf.DUMMYFUNCTION("IMPORTRANGE(""https://docs.google.com/spreadsheets/d/1XWAQStnk-4SwqDmLtmXYiTMKHgktTP8We1SCoS47DrQ/edit?usp=sharing"",""จัดที่ดิน!BF19"")"),0)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IFERROR(__xludf.DUMMYFUNCTION("IMPORTRANGE(""https://docs.google.com/spreadsheets/d/1XWAQStnk-4SwqDmLtmXYiTMKHgktTP8We1SCoS47DrQ/edit?usp=sharing"",""จัดที่ดิน!BG19"")"),0)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IFERROR(__xludf.DUMMYFUNCTION("IMPORTRANGE(""https://docs.google.com/spreadsheets/d/1QqKyyYR6Q21VydFLVH3TRQUabQu_ym0Zz7PgGX0-kHA/edit?usp=sharing"",""แผน!II19"")"),0)</f>
        <v>0</v>
      </c>
      <c r="J720" s="270">
        <f ca="1">IFERROR(__xludf.DUMMYFUNCTION("IMPORTRANGE(""https://docs.google.com/spreadsheets/d/1XWAQStnk-4SwqDmLtmXYiTMKHgktTP8We1SCoS47DrQ/edit?usp=sharing"",""จัดที่ดิน!BH19"")"),0)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IFERROR(__xludf.DUMMYFUNCTION("IMPORTRANGE(""https://docs.google.com/spreadsheets/d/1QqKyyYR6Q21VydFLVH3TRQUabQu_ym0Zz7PgGX0-kHA/edit?usp=sharing"",""แผน!IJ19"")"),0)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IFERROR(__xludf.DUMMYFUNCTION("IMPORTRANGE(""https://docs.google.com/spreadsheets/d/1QqKyyYR6Q21VydFLVH3TRQUabQu_ym0Zz7PgGX0-kHA/edit?usp=sharing"",""แผน!IK19"")"),0)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IFERROR(__xludf.DUMMYFUNCTION("IMPORTRANGE(""https://docs.google.com/spreadsheets/d/1QqKyyYR6Q21VydFLVH3TRQUabQu_ym0Zz7PgGX0-kHA/edit?usp=sharing"",""แผน!IL19"")"),0)</f>
        <v>0</v>
      </c>
      <c r="J723" s="270">
        <f ca="1">IFERROR(__xludf.DUMMYFUNCTION("IMPORTRANGE(""https://docs.google.com/spreadsheets/d/1XWAQStnk-4SwqDmLtmXYiTMKHgktTP8We1SCoS47DrQ/edit?usp=sharing"",""จัดที่ดิน!BM19"")"),0)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IFERROR(__xludf.DUMMYFUNCTION("IMPORTRANGE(""https://docs.google.com/spreadsheets/d/1XWAQStnk-4SwqDmLtmXYiTMKHgktTP8We1SCoS47DrQ/edit?usp=sharing"",""จัดที่ดิน!BN19"")"),0)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IFERROR(__xludf.DUMMYFUNCTION("IMPORTRANGE(""https://docs.google.com/spreadsheets/d/1QqKyyYR6Q21VydFLVH3TRQUabQu_ym0Zz7PgGX0-kHA/edit?usp=sharing"",""แผน!IM19"")"),0)</f>
        <v>0</v>
      </c>
      <c r="J725" s="270">
        <f ca="1">IFERROR(__xludf.DUMMYFUNCTION("IMPORTRANGE(""https://docs.google.com/spreadsheets/d/1XWAQStnk-4SwqDmLtmXYiTMKHgktTP8We1SCoS47DrQ/edit?usp=sharing"",""จัดที่ดิน!BO19"")"),0)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IFERROR(__xludf.DUMMYFUNCTION("IMPORTRANGE(""https://docs.google.com/spreadsheets/d/1QqKyyYR6Q21VydFLVH3TRQUabQu_ym0Zz7PgGX0-kHA/edit?usp=sharing"",""แผน!IN19"")"),0)</f>
        <v>0</v>
      </c>
      <c r="J726" s="270">
        <f ca="1">IFERROR(__xludf.DUMMYFUNCTION("IMPORTRANGE(""https://docs.google.com/spreadsheets/d/1XWAQStnk-4SwqDmLtmXYiTMKHgktTP8We1SCoS47DrQ/edit?usp=sharing"",""จัดที่ดิน!BR19"")"),0)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IFERROR(__xludf.DUMMYFUNCTION("IMPORTRANGE(""https://docs.google.com/spreadsheets/d/1XWAQStnk-4SwqDmLtmXYiTMKHgktTP8We1SCoS47DrQ/edit?usp=sharing"",""จัดที่ดิน!BS19"")"),0)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IFERROR(__xludf.DUMMYFUNCTION("IMPORTRANGE(""https://docs.google.com/spreadsheets/d/1QqKyyYR6Q21VydFLVH3TRQUabQu_ym0Zz7PgGX0-kHA/edit?usp=sharing"",""แผน!IO19"")"),0)</f>
        <v>0</v>
      </c>
      <c r="J728" s="270">
        <f ca="1">IFERROR(__xludf.DUMMYFUNCTION("IMPORTRANGE(""https://docs.google.com/spreadsheets/d/1XWAQStnk-4SwqDmLtmXYiTMKHgktTP8We1SCoS47DrQ/edit?usp=sharing"",""จัดที่ดิน!BT19"")"),0)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IFERROR(__xludf.DUMMYFUNCTION("IMPORTRANGE(""https://docs.google.com/spreadsheets/d/1QqKyyYR6Q21VydFLVH3TRQUabQu_ym0Zz7PgGX0-kHA/edit?usp=sharing"",""แผน!IP19"")"),0)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892" t="s">
        <v>46</v>
      </c>
      <c r="I785" s="893">
        <f t="shared" ref="I785:J785" ca="1" si="318">I801+I803</f>
        <v>0</v>
      </c>
      <c r="J785" s="893">
        <f t="shared" ca="1" si="318"/>
        <v>0</v>
      </c>
      <c r="K785" s="894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895" t="s">
        <v>12</v>
      </c>
      <c r="I786" s="896"/>
      <c r="J786" s="896"/>
      <c r="K786" s="8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898" t="s">
        <v>12</v>
      </c>
      <c r="I787" s="896"/>
      <c r="J787" s="896"/>
      <c r="K787" s="89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898" t="s">
        <v>12</v>
      </c>
      <c r="I788" s="896"/>
      <c r="J788" s="896"/>
      <c r="K788" s="897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27"/>
      <c r="F789" s="727"/>
      <c r="G789" s="189"/>
      <c r="H789" s="899" t="s">
        <v>12</v>
      </c>
      <c r="I789" s="900"/>
      <c r="J789" s="900"/>
      <c r="K789" s="901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898" t="s">
        <v>12</v>
      </c>
      <c r="I790" s="896"/>
      <c r="J790" s="896"/>
      <c r="K790" s="89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898" t="s">
        <v>12</v>
      </c>
      <c r="I791" s="896"/>
      <c r="J791" s="896"/>
      <c r="K791" s="897"/>
      <c r="L791" s="93">
        <f ca="1">IFERROR(__xludf.DUMMYFUNCTION("IMPORTRANGE(""https://docs.google.com/spreadsheets/d/1QqKyyYR6Q21VydFLVH3TRQUabQu_ym0Zz7PgGX0-kHA/edit?usp=sharing"",""แผน!JJ19"")"),0)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27"/>
      <c r="D792" s="727"/>
      <c r="E792" s="727"/>
      <c r="F792" s="727" t="s">
        <v>186</v>
      </c>
      <c r="G792" s="189"/>
      <c r="H792" s="899" t="s">
        <v>12</v>
      </c>
      <c r="I792" s="896"/>
      <c r="J792" s="896"/>
      <c r="K792" s="897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27"/>
      <c r="D793" s="727"/>
      <c r="E793" s="727"/>
      <c r="F793" s="727" t="s">
        <v>187</v>
      </c>
      <c r="G793" s="189"/>
      <c r="H793" s="899" t="s">
        <v>12</v>
      </c>
      <c r="I793" s="896"/>
      <c r="J793" s="896"/>
      <c r="K793" s="897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27"/>
      <c r="D794" s="727"/>
      <c r="E794" s="727"/>
      <c r="F794" s="727" t="s">
        <v>188</v>
      </c>
      <c r="G794" s="189"/>
      <c r="H794" s="899" t="s">
        <v>12</v>
      </c>
      <c r="I794" s="896"/>
      <c r="J794" s="896"/>
      <c r="K794" s="897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27"/>
      <c r="D795" s="727"/>
      <c r="E795" s="727"/>
      <c r="F795" s="727" t="s">
        <v>189</v>
      </c>
      <c r="G795" s="189"/>
      <c r="H795" s="899" t="s">
        <v>12</v>
      </c>
      <c r="I795" s="896"/>
      <c r="J795" s="896"/>
      <c r="K795" s="897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27"/>
      <c r="D796" s="571" t="s">
        <v>21</v>
      </c>
      <c r="E796" s="727"/>
      <c r="F796" s="727"/>
      <c r="G796" s="189"/>
      <c r="H796" s="902" t="s">
        <v>12</v>
      </c>
      <c r="I796" s="900"/>
      <c r="J796" s="900"/>
      <c r="K796" s="901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898" t="s">
        <v>12</v>
      </c>
      <c r="I797" s="900"/>
      <c r="J797" s="900"/>
      <c r="K797" s="90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903" t="s">
        <v>12</v>
      </c>
      <c r="I798" s="900"/>
      <c r="J798" s="900"/>
      <c r="K798" s="90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904"/>
      <c r="I799" s="900"/>
      <c r="J799" s="900"/>
      <c r="K799" s="901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6"/>
      <c r="H800" s="905" t="s">
        <v>34</v>
      </c>
      <c r="I800" s="900"/>
      <c r="J800" s="906">
        <f ca="1">IFERROR(__xludf.DUMMYFUNCTION("IMPORTRANGE(""https://docs.google.com/spreadsheets/d/1MaWodYyGHDf7siQLGxnXhG4mBNTNIuy296niS2xXulU/edit?usp=sharing"",""RTK!H19"")"),0)</f>
        <v>0</v>
      </c>
      <c r="K800" s="897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6"/>
      <c r="H801" s="899" t="s">
        <v>46</v>
      </c>
      <c r="I801" s="906">
        <f ca="1">IFERROR(__xludf.DUMMYFUNCTION("IMPORTRANGE(""https://docs.google.com/spreadsheets/d/1MaWodYyGHDf7siQLGxnXhG4mBNTNIuy296niS2xXulU/edit?usp=sharing"",""RTK!G19"")"),0)</f>
        <v>0</v>
      </c>
      <c r="J801" s="907">
        <f ca="1">IFERROR(__xludf.DUMMYFUNCTION("IMPORTRANGE(""https://docs.google.com/spreadsheets/d/1MaWodYyGHDf7siQLGxnXhG4mBNTNIuy296niS2xXulU/edit?usp=sharing"",""RTK!I19"")"),0)</f>
        <v>0</v>
      </c>
      <c r="K801" s="908">
        <f ca="1">IF(I801&gt;0,J801*100/I801,0)</f>
        <v>0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4"/>
      <c r="F802" s="684" t="s">
        <v>321</v>
      </c>
      <c r="G802" s="582"/>
      <c r="H802" s="905" t="s">
        <v>34</v>
      </c>
      <c r="I802" s="900"/>
      <c r="J802" s="906">
        <f ca="1">IFERROR(__xludf.DUMMYFUNCTION("IMPORTRANGE(""https://docs.google.com/spreadsheets/d/1MaWodYyGHDf7siQLGxnXhG4mBNTNIuy296niS2xXulU/edit?usp=sharing"",""RTK!L19"")"),0)</f>
        <v>0</v>
      </c>
      <c r="K802" s="897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4"/>
      <c r="F803" s="684"/>
      <c r="G803" s="582"/>
      <c r="H803" s="905" t="s">
        <v>46</v>
      </c>
      <c r="I803" s="906">
        <f ca="1">IFERROR(__xludf.DUMMYFUNCTION("IMPORTRANGE(""https://docs.google.com/spreadsheets/d/1MaWodYyGHDf7siQLGxnXhG4mBNTNIuy296niS2xXulU/edit?usp=sharing"",""RTK!K19"")"),0)</f>
        <v>0</v>
      </c>
      <c r="J803" s="907">
        <f ca="1">IFERROR(__xludf.DUMMYFUNCTION("IMPORTRANGE(""https://docs.google.com/spreadsheets/d/1MaWodYyGHDf7siQLGxnXhG4mBNTNIuy296niS2xXulU/edit?usp=sharing"",""RTK!M19"")"),0)</f>
        <v>0</v>
      </c>
      <c r="K803" s="90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27"/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8">L806+L807</f>
        <v>0</v>
      </c>
      <c r="M805" s="613">
        <f t="shared" si="328"/>
        <v>0</v>
      </c>
      <c r="N805" s="613">
        <f t="shared" si="328"/>
        <v>0</v>
      </c>
      <c r="O805" s="613">
        <f t="shared" ref="O805:O810" si="329">IF(L805&gt;0,N805*100/L805,0)</f>
        <v>0</v>
      </c>
      <c r="P805" s="613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2">L809+L810</f>
        <v>0</v>
      </c>
      <c r="M808" s="613">
        <f t="shared" si="332"/>
        <v>0</v>
      </c>
      <c r="N808" s="613">
        <f t="shared" si="332"/>
        <v>0</v>
      </c>
      <c r="O808" s="613">
        <f t="shared" si="329"/>
        <v>0</v>
      </c>
      <c r="P808" s="613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3">L816+L817</f>
        <v>0</v>
      </c>
      <c r="M815" s="613">
        <f t="shared" si="333"/>
        <v>0</v>
      </c>
      <c r="N815" s="613">
        <f t="shared" si="333"/>
        <v>0</v>
      </c>
      <c r="O815" s="613">
        <f t="shared" ref="O815:O817" si="334">IF(L815&gt;0,N815*100/L815,0)</f>
        <v>0</v>
      </c>
      <c r="P815" s="613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270">
        <f ca="1">IFERROR(__xludf.DUMMYFUNCTION("IMPORTRANGE(""https://docs.google.com/spreadsheets/d/19vJNZY_5yjcGF2XGBMNZRCAIB0Kwfpjp8YEOfu-bneM/edit?usp=sharing"",""งานกองทุน!F19"")"),398224.54)</f>
        <v>398224.54</v>
      </c>
      <c r="K821" s="466">
        <f t="shared" ref="K821:K828" ca="1" si="336">IF(I821&gt;0,J821*100/I821,0)</f>
        <v>8.814260504347466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IFERROR(__xludf.DUMMYFUNCTION("IMPORTRANGE(""https://docs.google.com/spreadsheets/d/19vJNZY_5yjcGF2XGBMNZRCAIB0Kwfpjp8YEOfu-bneM/edit?usp=sharing"",""งานกองทุน!C19"")"),299)</f>
        <v>299</v>
      </c>
      <c r="J822" s="270">
        <f ca="1">IFERROR(__xludf.DUMMYFUNCTION("IMPORTRANGE(""https://docs.google.com/spreadsheets/d/19vJNZY_5yjcGF2XGBMNZRCAIB0Kwfpjp8YEOfu-bneM/edit?usp=sharing"",""งานกองทุน!E19"")"),29)</f>
        <v>29</v>
      </c>
      <c r="K822" s="466">
        <f t="shared" ca="1" si="336"/>
        <v>9.6989966555183944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270">
        <f ca="1">IFERROR(__xludf.DUMMYFUNCTION("IMPORTRANGE(""https://docs.google.com/spreadsheets/d/19vJNZY_5yjcGF2XGBMNZRCAIB0Kwfpjp8YEOfu-bneM/edit?usp=sharing"",""งานกองทุน!K19"")"),230696.79)</f>
        <v>230696.79</v>
      </c>
      <c r="K823" s="466">
        <f t="shared" ca="1" si="336"/>
        <v>17.741279997253638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IFERROR(__xludf.DUMMYFUNCTION("IMPORTRANGE(""https://docs.google.com/spreadsheets/d/19vJNZY_5yjcGF2XGBMNZRCAIB0Kwfpjp8YEOfu-bneM/edit?usp=sharing"",""งานกองทุน!H19"")"),75)</f>
        <v>75</v>
      </c>
      <c r="J824" s="270">
        <f ca="1">IFERROR(__xludf.DUMMYFUNCTION("IMPORTRANGE(""https://docs.google.com/spreadsheets/d/19vJNZY_5yjcGF2XGBMNZRCAIB0Kwfpjp8YEOfu-bneM/edit?usp=sharing"",""งานกองทุน!J19"")"),49)</f>
        <v>49</v>
      </c>
      <c r="K824" s="466">
        <f t="shared" ca="1" si="336"/>
        <v>65.333333333333329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IFERROR(__xludf.DUMMYFUNCTION("IMPORTRANGE(""https://docs.google.com/spreadsheets/d/19vJNZY_5yjcGF2XGBMNZRCAIB0Kwfpjp8YEOfu-bneM/edit?usp=sharing"",""งานกองทุน!N19"")"),0)</f>
        <v>0</v>
      </c>
      <c r="J825" s="270">
        <f ca="1">IFERROR(__xludf.DUMMYFUNCTION("IMPORTRANGE(""https://docs.google.com/spreadsheets/d/19vJNZY_5yjcGF2XGBMNZRCAIB0Kwfpjp8YEOfu-bneM/edit?usp=sharing"",""งานกองทุน!P19"")"),0)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IFERROR(__xludf.DUMMYFUNCTION("IMPORTRANGE(""https://docs.google.com/spreadsheets/d/19vJNZY_5yjcGF2XGBMNZRCAIB0Kwfpjp8YEOfu-bneM/edit?usp=sharing"",""งานกองทุน!M19"")"),0)</f>
        <v>0</v>
      </c>
      <c r="J826" s="270">
        <f ca="1">IFERROR(__xludf.DUMMYFUNCTION("IMPORTRANGE(""https://docs.google.com/spreadsheets/d/19vJNZY_5yjcGF2XGBMNZRCAIB0Kwfpjp8YEOfu-bneM/edit?usp=sharing"",""งานกองทุน!O19"")"),0)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IFERROR(__xludf.DUMMYFUNCTION("IMPORTRANGE(""https://docs.google.com/spreadsheets/d/19vJNZY_5yjcGF2XGBMNZRCAIB0Kwfpjp8YEOfu-bneM/edit?usp=sharing"",""งานกองทุน!S19"")"),6100000)</f>
        <v>6100000</v>
      </c>
      <c r="J827" s="270">
        <f ca="1">IFERROR(__xludf.DUMMYFUNCTION("IMPORTRANGE(""https://docs.google.com/spreadsheets/d/19vJNZY_5yjcGF2XGBMNZRCAIB0Kwfpjp8YEOfu-bneM/edit?usp=sharing"",""งานกองทุน!U19"")"),0)</f>
        <v>0</v>
      </c>
      <c r="K827" s="466">
        <f t="shared" ca="1" si="336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IFERROR(__xludf.DUMMYFUNCTION("IMPORTRANGE(""https://docs.google.com/spreadsheets/d/19vJNZY_5yjcGF2XGBMNZRCAIB0Kwfpjp8YEOfu-bneM/edit?usp=sharing"",""งานกองทุน!R19"")"),244)</f>
        <v>244</v>
      </c>
      <c r="J828" s="469">
        <f ca="1">IFERROR(__xludf.DUMMYFUNCTION("IMPORTRANGE(""https://docs.google.com/spreadsheets/d/19vJNZY_5yjcGF2XGBMNZRCAIB0Kwfpjp8YEOfu-bneM/edit?usp=sharing"",""งานกองทุน!T19"")"),0)</f>
        <v>0</v>
      </c>
      <c r="K828" s="470">
        <f t="shared" ca="1" si="336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14ED1-584F-4218-9780-E3AC6C19A32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9" width="18.7109375" style="801" bestFit="1" customWidth="1"/>
    <col min="10" max="10" width="14.4257812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341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5722729</v>
      </c>
      <c r="M8" s="22">
        <f t="shared" ca="1" si="0"/>
        <v>2580720</v>
      </c>
      <c r="N8" s="22">
        <f t="shared" ca="1" si="0"/>
        <v>1460699.67</v>
      </c>
      <c r="O8" s="22">
        <f t="shared" ref="O8:O16" ca="1" si="1">IF(L8&gt;0,N8*100/L8,0)</f>
        <v>25.524529817854383</v>
      </c>
      <c r="P8" s="22">
        <f t="shared" ref="P8:P16" ca="1" si="2">IF(M8&gt;0,N8*100/M8,0)</f>
        <v>56.600470798846835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5722729</v>
      </c>
      <c r="M10" s="30">
        <f t="shared" ca="1" si="3"/>
        <v>2580720</v>
      </c>
      <c r="N10" s="30">
        <f t="shared" ca="1" si="3"/>
        <v>1460699.67</v>
      </c>
      <c r="O10" s="30">
        <f t="shared" ca="1" si="1"/>
        <v>25.524529817854383</v>
      </c>
      <c r="P10" s="30">
        <f t="shared" ca="1" si="2"/>
        <v>56.600470798846835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4872929</v>
      </c>
      <c r="M11" s="466">
        <f t="shared" ca="1" si="4"/>
        <v>1734120</v>
      </c>
      <c r="N11" s="466">
        <f t="shared" ca="1" si="4"/>
        <v>1174099.67</v>
      </c>
      <c r="O11" s="466">
        <f t="shared" ca="1" si="1"/>
        <v>24.094331561161674</v>
      </c>
      <c r="P11" s="466">
        <f t="shared" ca="1" si="2"/>
        <v>67.705791410052356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4872929</v>
      </c>
      <c r="M13" s="93">
        <f t="shared" ca="1" si="5"/>
        <v>1734120</v>
      </c>
      <c r="N13" s="93">
        <f t="shared" ca="1" si="5"/>
        <v>1174099.67</v>
      </c>
      <c r="O13" s="93">
        <f t="shared" ca="1" si="1"/>
        <v>24.094331561161674</v>
      </c>
      <c r="P13" s="93">
        <f t="shared" ca="1" si="2"/>
        <v>67.705791410052356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849800</v>
      </c>
      <c r="M14" s="466">
        <f t="shared" ca="1" si="6"/>
        <v>846600</v>
      </c>
      <c r="N14" s="466">
        <f t="shared" ca="1" si="6"/>
        <v>286600</v>
      </c>
      <c r="O14" s="466">
        <f t="shared" ca="1" si="1"/>
        <v>33.725582489997649</v>
      </c>
      <c r="P14" s="466">
        <f t="shared" ca="1" si="2"/>
        <v>33.853059296007558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849800</v>
      </c>
      <c r="M16" s="52">
        <f t="shared" ca="1" si="7"/>
        <v>846600</v>
      </c>
      <c r="N16" s="52">
        <f t="shared" ca="1" si="7"/>
        <v>286600</v>
      </c>
      <c r="O16" s="52">
        <f t="shared" ca="1" si="1"/>
        <v>33.725582489997649</v>
      </c>
      <c r="P16" s="52">
        <f t="shared" ca="1" si="2"/>
        <v>33.853059296007558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4206580</v>
      </c>
      <c r="M18" s="22">
        <f t="shared" ca="1" si="8"/>
        <v>2580720</v>
      </c>
      <c r="N18" s="22">
        <f t="shared" ca="1" si="8"/>
        <v>1292225.67</v>
      </c>
      <c r="O18" s="22">
        <f t="shared" ref="O18:O26" ca="1" si="9">IF(L18&gt;0,N18*100/L18,0)</f>
        <v>30.719151186949968</v>
      </c>
      <c r="P18" s="22">
        <f t="shared" ref="P18:P26" ca="1" si="10">IF(M18&gt;0,N18*100/M18,0)</f>
        <v>50.072292616014138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4206580</v>
      </c>
      <c r="M20" s="30">
        <f t="shared" ca="1" si="11"/>
        <v>2580720</v>
      </c>
      <c r="N20" s="30">
        <f t="shared" ca="1" si="11"/>
        <v>1292225.67</v>
      </c>
      <c r="O20" s="30">
        <f t="shared" ca="1" si="9"/>
        <v>30.719151186949968</v>
      </c>
      <c r="P20" s="30">
        <f t="shared" ca="1" si="10"/>
        <v>50.072292616014138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3356780</v>
      </c>
      <c r="M21" s="466">
        <f t="shared" ca="1" si="12"/>
        <v>1734120</v>
      </c>
      <c r="N21" s="466">
        <f t="shared" ca="1" si="12"/>
        <v>1005625.6699999999</v>
      </c>
      <c r="O21" s="466">
        <f t="shared" ca="1" si="9"/>
        <v>29.95804520999291</v>
      </c>
      <c r="P21" s="466">
        <f t="shared" ca="1" si="10"/>
        <v>57.990546790302865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3356780</v>
      </c>
      <c r="M23" s="93">
        <f t="shared" ca="1" si="13"/>
        <v>1734120</v>
      </c>
      <c r="N23" s="93">
        <f t="shared" ca="1" si="13"/>
        <v>1005625.6699999999</v>
      </c>
      <c r="O23" s="93">
        <f t="shared" ca="1" si="9"/>
        <v>29.95804520999291</v>
      </c>
      <c r="P23" s="93">
        <f t="shared" ca="1" si="10"/>
        <v>57.990546790302865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849800</v>
      </c>
      <c r="M24" s="466">
        <f t="shared" ca="1" si="14"/>
        <v>846600</v>
      </c>
      <c r="N24" s="466">
        <f t="shared" ca="1" si="14"/>
        <v>286600</v>
      </c>
      <c r="O24" s="466">
        <f t="shared" ca="1" si="9"/>
        <v>33.725582489997649</v>
      </c>
      <c r="P24" s="466">
        <f t="shared" ca="1" si="10"/>
        <v>33.853059296007558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849800</v>
      </c>
      <c r="M26" s="52">
        <f t="shared" ca="1" si="15"/>
        <v>846600</v>
      </c>
      <c r="N26" s="52">
        <f t="shared" ca="1" si="15"/>
        <v>286600</v>
      </c>
      <c r="O26" s="52">
        <f t="shared" ca="1" si="9"/>
        <v>33.725582489997649</v>
      </c>
      <c r="P26" s="52">
        <f t="shared" ca="1" si="10"/>
        <v>33.853059296007558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1516149</v>
      </c>
      <c r="M28" s="22">
        <f t="shared" si="16"/>
        <v>0</v>
      </c>
      <c r="N28" s="22">
        <f t="shared" si="16"/>
        <v>168474</v>
      </c>
      <c r="O28" s="22">
        <f t="shared" ref="O28:O37" ca="1" si="17">IF(L28&gt;0,N28*100/L28,0)</f>
        <v>11.111968546627013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1516149</v>
      </c>
      <c r="M30" s="30">
        <f t="shared" si="19"/>
        <v>0</v>
      </c>
      <c r="N30" s="30">
        <f t="shared" si="19"/>
        <v>168474</v>
      </c>
      <c r="O30" s="30">
        <f t="shared" ca="1" si="17"/>
        <v>11.111968546627013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1516149</v>
      </c>
      <c r="M31" s="466">
        <f t="shared" si="20"/>
        <v>0</v>
      </c>
      <c r="N31" s="466">
        <f t="shared" si="20"/>
        <v>168474</v>
      </c>
      <c r="O31" s="466">
        <f t="shared" ca="1" si="17"/>
        <v>11.111968546627013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1516149</v>
      </c>
      <c r="M33" s="93">
        <f t="shared" si="21"/>
        <v>0</v>
      </c>
      <c r="N33" s="93">
        <f t="shared" si="21"/>
        <v>168474</v>
      </c>
      <c r="O33" s="93">
        <f t="shared" ca="1" si="17"/>
        <v>11.111968546627013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4206580</v>
      </c>
      <c r="M37" s="832">
        <f t="shared" ca="1" si="24"/>
        <v>2580720</v>
      </c>
      <c r="N37" s="832">
        <f t="shared" ca="1" si="24"/>
        <v>1292225.6700000002</v>
      </c>
      <c r="O37" s="832">
        <f t="shared" ca="1" si="17"/>
        <v>30.719151186949972</v>
      </c>
      <c r="P37" s="832">
        <f t="shared" ca="1" si="18"/>
        <v>50.072292616014138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386350</v>
      </c>
      <c r="M41" s="85">
        <f t="shared" ca="1" si="25"/>
        <v>201950</v>
      </c>
      <c r="N41" s="85">
        <f t="shared" ca="1" si="25"/>
        <v>153121</v>
      </c>
      <c r="O41" s="85">
        <f t="shared" ref="O41:O49" ca="1" si="26">IF(L41&gt;0,N41*100/L41,0)</f>
        <v>39.632716448815842</v>
      </c>
      <c r="P41" s="85">
        <f t="shared" ref="P41:P49" ca="1" si="27">IF(M41&gt;0,N41*100/M41,0)</f>
        <v>75.821242881901455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386350</v>
      </c>
      <c r="M43" s="92">
        <f t="shared" ca="1" si="28"/>
        <v>201950</v>
      </c>
      <c r="N43" s="92">
        <f t="shared" ca="1" si="28"/>
        <v>153121</v>
      </c>
      <c r="O43" s="92">
        <f t="shared" ca="1" si="26"/>
        <v>39.632716448815842</v>
      </c>
      <c r="P43" s="92">
        <f t="shared" ca="1" si="27"/>
        <v>75.821242881901455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386350</v>
      </c>
      <c r="M44" s="466">
        <f t="shared" ca="1" si="29"/>
        <v>201950</v>
      </c>
      <c r="N44" s="466">
        <f t="shared" ca="1" si="29"/>
        <v>153121</v>
      </c>
      <c r="O44" s="466">
        <f t="shared" ca="1" si="26"/>
        <v>39.632716448815842</v>
      </c>
      <c r="P44" s="466">
        <f t="shared" ca="1" si="27"/>
        <v>75.821242881901455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IFERROR(__xludf.DUMMYFUNCTION("IMPORTRANGE(""https://docs.google.com/spreadsheets/d/1MeEWN-I1oV_STSDYn1IFDPWt_1FKiwhDph83XaGc0o0/edit?usp=sharing"",""งบพรบ!M20"")"),386350)</f>
        <v>386350</v>
      </c>
      <c r="M46" s="93">
        <f ca="1">IFERROR(__xludf.DUMMYFUNCTION("IMPORTRANGE(""https://docs.google.com/spreadsheets/d/1MeEWN-I1oV_STSDYn1IFDPWt_1FKiwhDph83XaGc0o0/edit?usp=sharing"",""งบพรบ!R20"")"),201950)</f>
        <v>201950</v>
      </c>
      <c r="N46" s="93">
        <f ca="1">IFERROR(__xludf.DUMMYFUNCTION("IMPORTRANGE(""https://docs.google.com/spreadsheets/d/1MeEWN-I1oV_STSDYn1IFDPWt_1FKiwhDph83XaGc0o0/edit?usp=sharing"",""งบพรบ!T20"")"),153121)</f>
        <v>153121</v>
      </c>
      <c r="O46" s="93">
        <f t="shared" ca="1" si="26"/>
        <v>39.632716448815842</v>
      </c>
      <c r="P46" s="93">
        <f t="shared" ca="1" si="27"/>
        <v>75.821242881901455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IFERROR(__xludf.DUMMYFUNCTION("IMPORTRANGE(""https://docs.google.com/spreadsheets/d/1MeEWN-I1oV_STSDYn1IFDPWt_1FKiwhDph83XaGc0o0/edit?usp=sharing"",""งบพรบ!P20"")"),0)</f>
        <v>0</v>
      </c>
      <c r="M49" s="52">
        <f ca="1">IFERROR(__xludf.DUMMYFUNCTION("IMPORTRANGE(""https://docs.google.com/spreadsheets/d/1MeEWN-I1oV_STSDYn1IFDPWt_1FKiwhDph83XaGc0o0/edit?usp=sharing"",""งบพรบ!S20"")"),0)</f>
        <v>0</v>
      </c>
      <c r="N49" s="52">
        <f ca="1">IFERROR(__xludf.DUMMYFUNCTION("IMPORTRANGE(""https://docs.google.com/spreadsheets/d/1MeEWN-I1oV_STSDYn1IFDPWt_1FKiwhDph83XaGc0o0/edit?usp=sharing"",""งบพรบ!U20"")"),0)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1374800</v>
      </c>
      <c r="M53" s="116">
        <f t="shared" ca="1" si="31"/>
        <v>1060200</v>
      </c>
      <c r="N53" s="116">
        <f t="shared" ca="1" si="31"/>
        <v>380433.55</v>
      </c>
      <c r="O53" s="116">
        <f t="shared" ref="O53:O61" ca="1" si="32">IF(L53&gt;0,N53*100/L53,0)</f>
        <v>27.671919551934828</v>
      </c>
      <c r="P53" s="116">
        <f t="shared" ref="P53:P61" ca="1" si="33">IF(M53&gt;0,N53*100/M53,0)</f>
        <v>35.883187134502926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1374800</v>
      </c>
      <c r="M55" s="123">
        <f t="shared" ca="1" si="34"/>
        <v>1060200</v>
      </c>
      <c r="N55" s="123">
        <f t="shared" ca="1" si="34"/>
        <v>380433.55</v>
      </c>
      <c r="O55" s="123">
        <f t="shared" ca="1" si="32"/>
        <v>27.671919551934828</v>
      </c>
      <c r="P55" s="123">
        <f t="shared" ca="1" si="33"/>
        <v>35.883187134502926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622800</v>
      </c>
      <c r="M56" s="466">
        <f t="shared" ca="1" si="35"/>
        <v>311400</v>
      </c>
      <c r="N56" s="466">
        <f t="shared" ca="1" si="35"/>
        <v>191633.55</v>
      </c>
      <c r="O56" s="466">
        <f t="shared" ca="1" si="32"/>
        <v>30.769677263969172</v>
      </c>
      <c r="P56" s="466">
        <f t="shared" ca="1" si="33"/>
        <v>61.539354527938343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IFERROR(__xludf.DUMMYFUNCTION("IMPORTRANGE(""https://docs.google.com/spreadsheets/d/1MeEWN-I1oV_STSDYn1IFDPWt_1FKiwhDph83XaGc0o0/edit?usp=sharing"",""งบพรบ!W20"")"),622800)</f>
        <v>622800</v>
      </c>
      <c r="M58" s="93">
        <f ca="1">IFERROR(__xludf.DUMMYFUNCTION("IMPORTRANGE(""https://docs.google.com/spreadsheets/d/1MeEWN-I1oV_STSDYn1IFDPWt_1FKiwhDph83XaGc0o0/edit?usp=sharing"",""งบพรบ!AB20"")"),311400)</f>
        <v>311400</v>
      </c>
      <c r="N58" s="93">
        <f ca="1">IFERROR(__xludf.DUMMYFUNCTION("IMPORTRANGE(""https://docs.google.com/spreadsheets/d/1MeEWN-I1oV_STSDYn1IFDPWt_1FKiwhDph83XaGc0o0/edit?usp=sharing"",""งบพรบ!AD20"")"),191633.55)</f>
        <v>191633.55</v>
      </c>
      <c r="O58" s="93">
        <f t="shared" ca="1" si="32"/>
        <v>30.769677263969172</v>
      </c>
      <c r="P58" s="93">
        <f t="shared" ca="1" si="33"/>
        <v>61.539354527938343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752000</v>
      </c>
      <c r="M59" s="466">
        <f t="shared" ca="1" si="36"/>
        <v>748800</v>
      </c>
      <c r="N59" s="466">
        <f t="shared" ca="1" si="36"/>
        <v>188800</v>
      </c>
      <c r="O59" s="466">
        <f t="shared" ca="1" si="32"/>
        <v>25.106382978723403</v>
      </c>
      <c r="P59" s="466">
        <f t="shared" ca="1" si="33"/>
        <v>25.213675213675213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IFERROR(__xludf.DUMMYFUNCTION("IMPORTRANGE(""https://docs.google.com/spreadsheets/d/1MeEWN-I1oV_STSDYn1IFDPWt_1FKiwhDph83XaGc0o0/edit?usp=sharing"",""งบพรบ!Z20"")"),752000)</f>
        <v>752000</v>
      </c>
      <c r="M61" s="52">
        <f ca="1">IFERROR(__xludf.DUMMYFUNCTION("IMPORTRANGE(""https://docs.google.com/spreadsheets/d/1MeEWN-I1oV_STSDYn1IFDPWt_1FKiwhDph83XaGc0o0/edit?usp=sharing"",""งบพรบ!AC20"")"),748800)</f>
        <v>748800</v>
      </c>
      <c r="N61" s="52">
        <f ca="1">IFERROR(__xludf.DUMMYFUNCTION("IMPORTRANGE(""https://docs.google.com/spreadsheets/d/1MeEWN-I1oV_STSDYn1IFDPWt_1FKiwhDph83XaGc0o0/edit?usp=sharing"",""งบพรบ!AE20"")"),188800)</f>
        <v>188800</v>
      </c>
      <c r="O61" s="52">
        <f t="shared" ca="1" si="32"/>
        <v>25.106382978723403</v>
      </c>
      <c r="P61" s="52">
        <f t="shared" ca="1" si="33"/>
        <v>25.213675213675213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384000</v>
      </c>
      <c r="M66" s="155">
        <f t="shared" ca="1" si="39"/>
        <v>185000</v>
      </c>
      <c r="N66" s="155">
        <f t="shared" ca="1" si="39"/>
        <v>71645</v>
      </c>
      <c r="O66" s="155">
        <f t="shared" ref="O66:O74" ca="1" si="40">IF(L66&gt;0,N66*100/L66,0)</f>
        <v>18.657552083333332</v>
      </c>
      <c r="P66" s="155">
        <f t="shared" ref="P66:P74" ca="1" si="41">IF(M66&gt;0,N66*100/M66,0)</f>
        <v>38.727027027027027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384000</v>
      </c>
      <c r="M68" s="93">
        <f t="shared" ca="1" si="42"/>
        <v>185000</v>
      </c>
      <c r="N68" s="93">
        <f t="shared" ca="1" si="42"/>
        <v>71645</v>
      </c>
      <c r="O68" s="93">
        <f t="shared" ca="1" si="40"/>
        <v>18.657552083333332</v>
      </c>
      <c r="P68" s="93">
        <f t="shared" ca="1" si="41"/>
        <v>38.727027027027027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384000</v>
      </c>
      <c r="M69" s="466">
        <f t="shared" ca="1" si="43"/>
        <v>185000</v>
      </c>
      <c r="N69" s="466">
        <f t="shared" ca="1" si="43"/>
        <v>71645</v>
      </c>
      <c r="O69" s="466">
        <f t="shared" ca="1" si="40"/>
        <v>18.657552083333332</v>
      </c>
      <c r="P69" s="466">
        <f t="shared" ca="1" si="41"/>
        <v>38.727027027027027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IFERROR(__xludf.DUMMYFUNCTION("IMPORTRANGE(""https://docs.google.com/spreadsheets/d/1MeEWN-I1oV_STSDYn1IFDPWt_1FKiwhDph83XaGc0o0/edit?usp=sharing"",""งบพรบ!AG20"")"),384000)</f>
        <v>384000</v>
      </c>
      <c r="M71" s="93">
        <f ca="1">IFERROR(__xludf.DUMMYFUNCTION("IMPORTRANGE(""https://docs.google.com/spreadsheets/d/1MeEWN-I1oV_STSDYn1IFDPWt_1FKiwhDph83XaGc0o0/edit?usp=sharing"",""งบพรบ!AL20"")"),185000)</f>
        <v>185000</v>
      </c>
      <c r="N71" s="93">
        <f ca="1">IFERROR(__xludf.DUMMYFUNCTION("IMPORTRANGE(""https://docs.google.com/spreadsheets/d/1MeEWN-I1oV_STSDYn1IFDPWt_1FKiwhDph83XaGc0o0/edit?usp=sharing"",""งบพรบ!AN20"")"),71645)</f>
        <v>71645</v>
      </c>
      <c r="O71" s="93">
        <f t="shared" ca="1" si="40"/>
        <v>18.657552083333332</v>
      </c>
      <c r="P71" s="93">
        <f t="shared" ca="1" si="41"/>
        <v>38.727027027027027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IFERROR(__xludf.DUMMYFUNCTION("IMPORTRANGE(""https://docs.google.com/spreadsheets/d/1MeEWN-I1oV_STSDYn1IFDPWt_1FKiwhDph83XaGc0o0/edit?usp=sharing"",""งบพรบ!AJ20"")"),0)</f>
        <v>0</v>
      </c>
      <c r="M74" s="93">
        <f ca="1">IFERROR(__xludf.DUMMYFUNCTION("IMPORTRANGE(""https://docs.google.com/spreadsheets/d/1MeEWN-I1oV_STSDYn1IFDPWt_1FKiwhDph83XaGc0o0/edit?usp=sharing"",""งบพรบ!AM20"")"),0)</f>
        <v>0</v>
      </c>
      <c r="N74" s="93">
        <f ca="1">IFERROR(__xludf.DUMMYFUNCTION("IMPORTRANGE(""https://docs.google.com/spreadsheets/d/1MeEWN-I1oV_STSDYn1IFDPWt_1FKiwhDph83XaGc0o0/edit?usp=sharing"",""งบพรบ!AO20"")"),0)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IFERROR(__xludf.DUMMYFUNCTION("IMPORTRANGE(""https://docs.google.com/spreadsheets/d/1QqKyyYR6Q21VydFLVH3TRQUabQu_ym0Zz7PgGX0-kHA/edit?usp=sharing"",""แผน!G20"")"),30)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110880</v>
      </c>
      <c r="M88" s="155">
        <f t="shared" ca="1" si="49"/>
        <v>45680</v>
      </c>
      <c r="N88" s="155">
        <f t="shared" ca="1" si="49"/>
        <v>29150</v>
      </c>
      <c r="O88" s="155">
        <f t="shared" ref="O88:O96" ca="1" si="50">IF(L88&gt;0,N88*100/L88,0)</f>
        <v>26.289682539682541</v>
      </c>
      <c r="P88" s="155">
        <f t="shared" ref="P88:P96" ca="1" si="51">IF(M88&gt;0,N88*100/M88,0)</f>
        <v>63.813485113835377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110880</v>
      </c>
      <c r="M90" s="93">
        <f t="shared" ca="1" si="52"/>
        <v>45680</v>
      </c>
      <c r="N90" s="93">
        <f t="shared" ca="1" si="52"/>
        <v>29150</v>
      </c>
      <c r="O90" s="93">
        <f t="shared" ca="1" si="50"/>
        <v>26.289682539682541</v>
      </c>
      <c r="P90" s="93">
        <f t="shared" ca="1" si="51"/>
        <v>63.813485113835377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110880</v>
      </c>
      <c r="M91" s="466">
        <f t="shared" ca="1" si="53"/>
        <v>45680</v>
      </c>
      <c r="N91" s="466">
        <f t="shared" ca="1" si="53"/>
        <v>29150</v>
      </c>
      <c r="O91" s="466">
        <f t="shared" ca="1" si="50"/>
        <v>26.289682539682541</v>
      </c>
      <c r="P91" s="466">
        <f t="shared" ca="1" si="51"/>
        <v>63.813485113835377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IFERROR(__xludf.DUMMYFUNCTION("IMPORTRANGE(""https://docs.google.com/spreadsheets/d/1MeEWN-I1oV_STSDYn1IFDPWt_1FKiwhDph83XaGc0o0/edit?usp=sharing"",""งบพรบ!AQ20"")"),110880)</f>
        <v>110880</v>
      </c>
      <c r="M93" s="93">
        <f ca="1">IFERROR(__xludf.DUMMYFUNCTION("IMPORTRANGE(""https://docs.google.com/spreadsheets/d/1MeEWN-I1oV_STSDYn1IFDPWt_1FKiwhDph83XaGc0o0/edit?usp=sharing"",""งบพรบ!AV20"")"),45680)</f>
        <v>45680</v>
      </c>
      <c r="N93" s="93">
        <f ca="1">IFERROR(__xludf.DUMMYFUNCTION("IMPORTRANGE(""https://docs.google.com/spreadsheets/d/1MeEWN-I1oV_STSDYn1IFDPWt_1FKiwhDph83XaGc0o0/edit?usp=sharing"",""งบพรบ!AX20"")"),29150)</f>
        <v>29150</v>
      </c>
      <c r="O93" s="93">
        <f t="shared" ca="1" si="50"/>
        <v>26.289682539682541</v>
      </c>
      <c r="P93" s="93">
        <f t="shared" ca="1" si="51"/>
        <v>63.813485113835377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IFERROR(__xludf.DUMMYFUNCTION("IMPORTRANGE(""https://docs.google.com/spreadsheets/d/1MeEWN-I1oV_STSDYn1IFDPWt_1FKiwhDph83XaGc0o0/edit?usp=sharing"",""งบพรบ!AT20"")"),0)</f>
        <v>0</v>
      </c>
      <c r="M96" s="93">
        <f ca="1">IFERROR(__xludf.DUMMYFUNCTION("IMPORTRANGE(""https://docs.google.com/spreadsheets/d/1MeEWN-I1oV_STSDYn1IFDPWt_1FKiwhDph83XaGc0o0/edit?usp=sharing"",""งบพรบ!AW20"")"),0)</f>
        <v>0</v>
      </c>
      <c r="N96" s="93">
        <f ca="1">IFERROR(__xludf.DUMMYFUNCTION("IMPORTRANGE(""https://docs.google.com/spreadsheets/d/1MeEWN-I1oV_STSDYn1IFDPWt_1FKiwhDph83XaGc0o0/edit?usp=sharing"",""งบพรบ!AY20"")"),0)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IFERROR(__xludf.DUMMYFUNCTION("IMPORTRANGE(""https://docs.google.com/spreadsheets/d/1QqKyyYR6Q21VydFLVH3TRQUabQu_ym0Zz7PgGX0-kHA/edit?usp=sharing"",""แผน!K20"")"),60)</f>
        <v>60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IFERROR(__xludf.DUMMYFUNCTION("IMPORTRANGE(""https://docs.google.com/spreadsheets/d/1QqKyyYR6Q21VydFLVH3TRQUabQu_ym0Zz7PgGX0-kHA/edit?usp=sharing"",""แผน!L20"")"),20)</f>
        <v>20</v>
      </c>
      <c r="J99" s="270">
        <f>J104</f>
        <v>0</v>
      </c>
      <c r="K99" s="466">
        <f t="shared" ca="1" si="55"/>
        <v>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IFERROR(__xludf.DUMMYFUNCTION("IMPORTRANGE(""https://docs.google.com/spreadsheets/d/1QqKyyYR6Q21VydFLVH3TRQUabQu_ym0Zz7PgGX0-kHA/edit?usp=sharing"",""แผน!M20"")"),2)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IFERROR(__xludf.DUMMYFUNCTION("IMPORTRANGE(""https://docs.google.com/spreadsheets/d/1QqKyyYR6Q21VydFLVH3TRQUabQu_ym0Zz7PgGX0-kHA/edit?usp=sharing"",""แผน!N20"")"),60)</f>
        <v>60</v>
      </c>
      <c r="J102" s="215">
        <v>0</v>
      </c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IFERROR(__xludf.DUMMYFUNCTION("IMPORTRANGE(""https://docs.google.com/spreadsheets/d/1QqKyyYR6Q21VydFLVH3TRQUabQu_ym0Zz7PgGX0-kHA/edit?usp=sharing"",""แผน!O20"")"),20)</f>
        <v>20</v>
      </c>
      <c r="J103" s="215">
        <v>0</v>
      </c>
      <c r="K103" s="466">
        <f t="shared" ca="1" si="56"/>
        <v>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IFERROR(__xludf.DUMMYFUNCTION("IMPORTRANGE(""https://docs.google.com/spreadsheets/d/1QqKyyYR6Q21VydFLVH3TRQUabQu_ym0Zz7PgGX0-kHA/edit?usp=sharing"",""แผน!O20"")"),20)</f>
        <v>20</v>
      </c>
      <c r="J104" s="215">
        <v>0</v>
      </c>
      <c r="K104" s="466">
        <f t="shared" ca="1" si="56"/>
        <v>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IFERROR(__xludf.DUMMYFUNCTION("IMPORTRANGE(""https://docs.google.com/spreadsheets/d/1QqKyyYR6Q21VydFLVH3TRQUabQu_ym0Zz7PgGX0-kHA/edit?usp=sharing"",""แผน!P20"")"),1)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IFERROR(__xludf.DUMMYFUNCTION("IMPORTRANGE(""https://docs.google.com/spreadsheets/d/1QqKyyYR6Q21VydFLVH3TRQUabQu_ym0Zz7PgGX0-kHA/edit?usp=sharing"",""แผน!P20"")"),1)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IFERROR(__xludf.DUMMYFUNCTION("IMPORTRANGE(""https://docs.google.com/spreadsheets/d/1QqKyyYR6Q21VydFLVH3TRQUabQu_ym0Zz7PgGX0-kHA/edit?usp=sharing"",""แผน!Q20"")"),1)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IFERROR(__xludf.DUMMYFUNCTION("IMPORTRANGE(""https://docs.google.com/spreadsheets/d/1QqKyyYR6Q21VydFLVH3TRQUabQu_ym0Zz7PgGX0-kHA/edit?usp=sharing"",""แผน!Q20"")"),1)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IFERROR(__xludf.DUMMYFUNCTION("IMPORTRANGE(""https://docs.google.com/spreadsheets/d/1QqKyyYR6Q21VydFLVH3TRQUabQu_ym0Zz7PgGX0-kHA/edit?usp=sharing"",""แผน!R20"")"),20)</f>
        <v>20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IFERROR(__xludf.DUMMYFUNCTION("IMPORTRANGE(""https://docs.google.com/spreadsheets/d/1MeEWN-I1oV_STSDYn1IFDPWt_1FKiwhDph83XaGc0o0/edit?usp=sharing"",""งบพรบ!BA20"")"),0)</f>
        <v>0</v>
      </c>
      <c r="M124" s="93">
        <f ca="1">IFERROR(__xludf.DUMMYFUNCTION("IMPORTRANGE(""https://docs.google.com/spreadsheets/d/1MeEWN-I1oV_STSDYn1IFDPWt_1FKiwhDph83XaGc0o0/edit?usp=sharing"",""งบพรบ!BF20"")"),0)</f>
        <v>0</v>
      </c>
      <c r="N124" s="93">
        <f ca="1">IFERROR(__xludf.DUMMYFUNCTION("IMPORTRANGE(""https://docs.google.com/spreadsheets/d/1MeEWN-I1oV_STSDYn1IFDPWt_1FKiwhDph83XaGc0o0/edit?usp=sharing"",""งบพรบ!BH20"")"),0)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IFERROR(__xludf.DUMMYFUNCTION("IMPORTRANGE(""https://docs.google.com/spreadsheets/d/1MeEWN-I1oV_STSDYn1IFDPWt_1FKiwhDph83XaGc0o0/edit?usp=sharing"",""งบพรบ!BD20"")"),0)</f>
        <v>0</v>
      </c>
      <c r="M127" s="93">
        <f ca="1">IFERROR(__xludf.DUMMYFUNCTION("IMPORTRANGE(""https://docs.google.com/spreadsheets/d/1MeEWN-I1oV_STSDYn1IFDPWt_1FKiwhDph83XaGc0o0/edit?usp=sharing"",""งบพรบ!BG20"")"),0)</f>
        <v>0</v>
      </c>
      <c r="N127" s="93">
        <f ca="1">IFERROR(__xludf.DUMMYFUNCTION("IMPORTRANGE(""https://docs.google.com/spreadsheets/d/1MeEWN-I1oV_STSDYn1IFDPWt_1FKiwhDph83XaGc0o0/edit?usp=sharing"",""งบพรบ!BI20"")"),0)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IFERROR(__xludf.DUMMYFUNCTION("IMPORTRANGE(""https://docs.google.com/spreadsheets/d/1MeEWN-I1oV_STSDYn1IFDPWt_1FKiwhDph83XaGc0o0/edit?usp=sharing"",""งบพรบ!BK20"")"),0)</f>
        <v>0</v>
      </c>
      <c r="M137" s="93">
        <f ca="1">IFERROR(__xludf.DUMMYFUNCTION("IMPORTRANGE(""https://docs.google.com/spreadsheets/d/1MeEWN-I1oV_STSDYn1IFDPWt_1FKiwhDph83XaGc0o0/edit?usp=sharing"",""งบพรบ!BP20"")"),0)</f>
        <v>0</v>
      </c>
      <c r="N137" s="93">
        <f ca="1">IFERROR(__xludf.DUMMYFUNCTION("IMPORTRANGE(""https://docs.google.com/spreadsheets/d/1MeEWN-I1oV_STSDYn1IFDPWt_1FKiwhDph83XaGc0o0/edit?usp=sharing"",""งบพรบ!BR20"")"),0)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IFERROR(__xludf.DUMMYFUNCTION("IMPORTRANGE(""https://docs.google.com/spreadsheets/d/1MeEWN-I1oV_STSDYn1IFDPWt_1FKiwhDph83XaGc0o0/edit?usp=sharing"",""งบพรบ!BN20"")"),0)</f>
        <v>0</v>
      </c>
      <c r="M140" s="93">
        <f ca="1">IFERROR(__xludf.DUMMYFUNCTION("IMPORTRANGE(""https://docs.google.com/spreadsheets/d/1MeEWN-I1oV_STSDYn1IFDPWt_1FKiwhDph83XaGc0o0/edit?usp=sharing"",""งบพรบ!BQ20"")"),0)</f>
        <v>0</v>
      </c>
      <c r="N140" s="93">
        <f ca="1">IFERROR(__xludf.DUMMYFUNCTION("IMPORTRANGE(""https://docs.google.com/spreadsheets/d/1MeEWN-I1oV_STSDYn1IFDPWt_1FKiwhDph83XaGc0o0/edit?usp=sharing"",""งบพรบ!BS20"")"),0)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IFERROR(__xludf.DUMMYFUNCTION("IMPORTRANGE(""https://docs.google.com/spreadsheets/d/1QqKyyYR6Q21VydFLVH3TRQUabQu_ym0Zz7PgGX0-kHA/edit?usp=sharing"",""แผน!U20"")"),0)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IFERROR(__xludf.DUMMYFUNCTION("IMPORTRANGE(""https://docs.google.com/spreadsheets/d/1QqKyyYR6Q21VydFLVH3TRQUabQu_ym0Zz7PgGX0-kHA/edit?usp=sharing"",""แผน!V20"")"),0)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IFERROR(__xludf.DUMMYFUNCTION("IMPORTRANGE(""https://docs.google.com/spreadsheets/d/1QqKyyYR6Q21VydFLVH3TRQUabQu_ym0Zz7PgGX0-kHA/edit?usp=sharing"",""แผน!W20"")"),0)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12080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12080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12080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IFERROR(__xludf.DUMMYFUNCTION("IMPORTRANGE(""https://docs.google.com/spreadsheets/d/1MeEWN-I1oV_STSDYn1IFDPWt_1FKiwhDph83XaGc0o0/edit?usp=sharing"",""งบพรบ!BU20"")"),10000)</f>
        <v>10000</v>
      </c>
      <c r="M154" s="93">
        <f ca="1">IFERROR(__xludf.DUMMYFUNCTION("IMPORTRANGE(""https://docs.google.com/spreadsheets/d/1MeEWN-I1oV_STSDYn1IFDPWt_1FKiwhDph83XaGc0o0/edit?usp=sharing"",""งบพรบ!BZ20"")"),12080)</f>
        <v>12080</v>
      </c>
      <c r="N154" s="93">
        <f ca="1">IFERROR(__xludf.DUMMYFUNCTION("IMPORTRANGE(""https://docs.google.com/spreadsheets/d/1MeEWN-I1oV_STSDYn1IFDPWt_1FKiwhDph83XaGc0o0/edit?usp=sharing"",""งบพรบ!CB20"")"),0)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IFERROR(__xludf.DUMMYFUNCTION("IMPORTRANGE(""https://docs.google.com/spreadsheets/d/1MeEWN-I1oV_STSDYn1IFDPWt_1FKiwhDph83XaGc0o0/edit?usp=sharing"",""งบพรบ!BX20"")"),0)</f>
        <v>0</v>
      </c>
      <c r="M157" s="93">
        <f ca="1">IFERROR(__xludf.DUMMYFUNCTION("IMPORTRANGE(""https://docs.google.com/spreadsheets/d/1MeEWN-I1oV_STSDYn1IFDPWt_1FKiwhDph83XaGc0o0/edit?usp=sharing"",""งบพรบ!CA20"")"),0)</f>
        <v>0</v>
      </c>
      <c r="N157" s="93">
        <f ca="1">IFERROR(__xludf.DUMMYFUNCTION("IMPORTRANGE(""https://docs.google.com/spreadsheets/d/1MeEWN-I1oV_STSDYn1IFDPWt_1FKiwhDph83XaGc0o0/edit?usp=sharing"",""งบพรบ!CC20"")"),0)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IFERROR(__xludf.DUMMYFUNCTION("IMPORTRANGE(""https://docs.google.com/spreadsheets/d/1QqKyyYR6Q21VydFLVH3TRQUabQu_ym0Zz7PgGX0-kHA/edit?usp=sharing"",""แผน!X20"")"),20)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23060</v>
      </c>
      <c r="N168" s="466">
        <f t="shared" ca="1" si="88"/>
        <v>0</v>
      </c>
      <c r="O168" s="466">
        <f t="shared" ca="1" si="85"/>
        <v>0</v>
      </c>
      <c r="P168" s="46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IFERROR(__xludf.DUMMYFUNCTION("IMPORTRANGE(""https://docs.google.com/spreadsheets/d/1MeEWN-I1oV_STSDYn1IFDPWt_1FKiwhDph83XaGc0o0/edit?usp=sharing"",""งบพรบ!CE20"")"),23060)</f>
        <v>23060</v>
      </c>
      <c r="M170" s="93">
        <f ca="1">IFERROR(__xludf.DUMMYFUNCTION("IMPORTRANGE(""https://docs.google.com/spreadsheets/d/1MeEWN-I1oV_STSDYn1IFDPWt_1FKiwhDph83XaGc0o0/edit?usp=sharing"",""งบพรบ!CJ20"")"),23060)</f>
        <v>23060</v>
      </c>
      <c r="N170" s="93">
        <f ca="1">IFERROR(__xludf.DUMMYFUNCTION("IMPORTRANGE(""https://docs.google.com/spreadsheets/d/1MeEWN-I1oV_STSDYn1IFDPWt_1FKiwhDph83XaGc0o0/edit?usp=sharing"",""งบพรบ!CL20"")"),0)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IFERROR(__xludf.DUMMYFUNCTION("IMPORTRANGE(""https://docs.google.com/spreadsheets/d/1MeEWN-I1oV_STSDYn1IFDPWt_1FKiwhDph83XaGc0o0/edit?usp=sharing"",""งบพรบ!CH20"")"),0)</f>
        <v>0</v>
      </c>
      <c r="M173" s="93">
        <f ca="1">IFERROR(__xludf.DUMMYFUNCTION("IMPORTRANGE(""https://docs.google.com/spreadsheets/d/1MeEWN-I1oV_STSDYn1IFDPWt_1FKiwhDph83XaGc0o0/edit?usp=sharing"",""งบพรบ!CK20"")"),0)</f>
        <v>0</v>
      </c>
      <c r="N173" s="93">
        <f ca="1">IFERROR(__xludf.DUMMYFUNCTION("IMPORTRANGE(""https://docs.google.com/spreadsheets/d/1MeEWN-I1oV_STSDYn1IFDPWt_1FKiwhDph83XaGc0o0/edit?usp=sharing"",""งบพรบ!CM20"")"),0)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IFERROR(__xludf.DUMMYFUNCTION("IMPORTRANGE(""https://docs.google.com/spreadsheets/d/1QqKyyYR6Q21VydFLVH3TRQUabQu_ym0Zz7PgGX0-kHA/edit?usp=sharing"",""แผน!Y20"")"),12)</f>
        <v>12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50</v>
      </c>
      <c r="J180" s="253">
        <f t="shared" si="91"/>
        <v>50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723180</v>
      </c>
      <c r="M181" s="155">
        <f t="shared" ca="1" si="92"/>
        <v>399880</v>
      </c>
      <c r="N181" s="155">
        <f t="shared" ca="1" si="92"/>
        <v>191100.05</v>
      </c>
      <c r="O181" s="155">
        <f t="shared" ref="O181:O189" ca="1" si="93">IF(L181&gt;0,N181*100/L181,0)</f>
        <v>26.42496335628751</v>
      </c>
      <c r="P181" s="155">
        <f t="shared" ref="P181:P189" ca="1" si="94">IF(M181&gt;0,N181*100/M181,0)</f>
        <v>47.789349304791436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723180</v>
      </c>
      <c r="M183" s="93">
        <f t="shared" ca="1" si="95"/>
        <v>399880</v>
      </c>
      <c r="N183" s="93">
        <f t="shared" ca="1" si="95"/>
        <v>191100.05</v>
      </c>
      <c r="O183" s="93">
        <f t="shared" ca="1" si="93"/>
        <v>26.42496335628751</v>
      </c>
      <c r="P183" s="93">
        <f t="shared" ca="1" si="94"/>
        <v>47.789349304791436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723180</v>
      </c>
      <c r="M184" s="466">
        <f t="shared" ca="1" si="96"/>
        <v>399880</v>
      </c>
      <c r="N184" s="466">
        <f t="shared" ca="1" si="96"/>
        <v>191100.05</v>
      </c>
      <c r="O184" s="466">
        <f t="shared" ca="1" si="93"/>
        <v>26.42496335628751</v>
      </c>
      <c r="P184" s="466">
        <f t="shared" ca="1" si="94"/>
        <v>47.789349304791436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IFERROR(__xludf.DUMMYFUNCTION("IMPORTRANGE(""https://docs.google.com/spreadsheets/d/1MeEWN-I1oV_STSDYn1IFDPWt_1FKiwhDph83XaGc0o0/edit?usp=sharing"",""งบพรบ!CO20"")"),723180)</f>
        <v>723180</v>
      </c>
      <c r="M186" s="93">
        <f ca="1">IFERROR(__xludf.DUMMYFUNCTION("IMPORTRANGE(""https://docs.google.com/spreadsheets/d/1MeEWN-I1oV_STSDYn1IFDPWt_1FKiwhDph83XaGc0o0/edit?usp=sharing"",""งบพรบ!CT20"")"),399880)</f>
        <v>399880</v>
      </c>
      <c r="N186" s="93">
        <f ca="1">IFERROR(__xludf.DUMMYFUNCTION("IMPORTRANGE(""https://docs.google.com/spreadsheets/d/1MeEWN-I1oV_STSDYn1IFDPWt_1FKiwhDph83XaGc0o0/edit?usp=sharing"",""งบพรบ!CV20"")"),191100.05)</f>
        <v>191100.05</v>
      </c>
      <c r="O186" s="93">
        <f t="shared" ca="1" si="93"/>
        <v>26.42496335628751</v>
      </c>
      <c r="P186" s="93">
        <f t="shared" ca="1" si="94"/>
        <v>47.789349304791436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IFERROR(__xludf.DUMMYFUNCTION("IMPORTRANGE(""https://docs.google.com/spreadsheets/d/1MeEWN-I1oV_STSDYn1IFDPWt_1FKiwhDph83XaGc0o0/edit?usp=sharing"",""งบพรบ!CR20"")"),0)</f>
        <v>0</v>
      </c>
      <c r="M189" s="93">
        <f ca="1">IFERROR(__xludf.DUMMYFUNCTION("IMPORTRANGE(""https://docs.google.com/spreadsheets/d/1MeEWN-I1oV_STSDYn1IFDPWt_1FKiwhDph83XaGc0o0/edit?usp=sharing"",""งบพรบ!CU20"")"),0)</f>
        <v>0</v>
      </c>
      <c r="N189" s="93">
        <f ca="1">IFERROR(__xludf.DUMMYFUNCTION("IMPORTRANGE(""https://docs.google.com/spreadsheets/d/1MeEWN-I1oV_STSDYn1IFDPWt_1FKiwhDph83XaGc0o0/edit?usp=sharing"",""งบพรบ!CW20"")"),0)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IFERROR(__xludf.DUMMYFUNCTION("IMPORTRANGE(""https://docs.google.com/spreadsheets/d/1QqKyyYR6Q21VydFLVH3TRQUabQu_ym0Zz7PgGX0-kHA/edit?usp=sharing"",""แผน!Z20"")"),6000)</f>
        <v>6000</v>
      </c>
      <c r="M191" s="155"/>
      <c r="N191" s="276">
        <v>220</v>
      </c>
      <c r="O191" s="155">
        <f ca="1">IF(L191&gt;0,N191*100/L191,0)</f>
        <v>3.6666666666666665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IFERROR(__xludf.DUMMYFUNCTION("IMPORTRANGE(""https://docs.google.com/spreadsheets/d/1QqKyyYR6Q21VydFLVH3TRQUabQu_ym0Zz7PgGX0-kHA/edit?usp=sharing"",""แผน!AC20"")"),4)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IFERROR(__xludf.DUMMYFUNCTION("IMPORTRANGE(""https://docs.google.com/spreadsheets/d/1QqKyyYR6Q21VydFLVH3TRQUabQu_ym0Zz7PgGX0-kHA/edit?usp=sharing"",""แผน!AE20"")"),2000)</f>
        <v>2000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IFERROR(__xludf.DUMMYFUNCTION("IMPORTRANGE(""https://docs.google.com/spreadsheets/d/1QqKyyYR6Q21VydFLVH3TRQUabQu_ym0Zz7PgGX0-kHA/edit?usp=sharing"",""แผน!AF20"")"),16000)</f>
        <v>16000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IFERROR(__xludf.DUMMYFUNCTION("IMPORTRANGE(""https://docs.google.com/spreadsheets/d/1QqKyyYR6Q21VydFLVH3TRQUabQu_ym0Zz7PgGX0-kHA/edit?usp=sharing"",""แผน!AG20"")"),8000)</f>
        <v>8000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IFERROR(__xludf.DUMMYFUNCTION("IMPORTRANGE(""https://docs.google.com/spreadsheets/d/1QqKyyYR6Q21VydFLVH3TRQUabQu_ym0Zz7PgGX0-kHA/edit?usp=sharing"",""แผน!AH20"")"),0)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IFERROR(__xludf.DUMMYFUNCTION("IMPORTRANGE(""https://docs.google.com/spreadsheets/d/1QqKyyYR6Q21VydFLVH3TRQUabQu_ym0Zz7PgGX0-kHA/edit?usp=sharing"",""แผน!AI20"")"),2)</f>
        <v>2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IFERROR(__xludf.DUMMYFUNCTION("IMPORTRANGE(""https://docs.google.com/spreadsheets/d/1QqKyyYR6Q21VydFLVH3TRQUabQu_ym0Zz7PgGX0-kHA/edit?usp=sharing"",""แผน!AK20"")"),0)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IFERROR(__xludf.DUMMYFUNCTION("IMPORTRANGE(""https://docs.google.com/spreadsheets/d/1QqKyyYR6Q21VydFLVH3TRQUabQu_ym0Zz7PgGX0-kHA/edit?usp=sharing"",""แผน!AL20"")"),0)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IFERROR(__xludf.DUMMYFUNCTION("IMPORTRANGE(""https://docs.google.com/spreadsheets/d/1QqKyyYR6Q21VydFLVH3TRQUabQu_ym0Zz7PgGX0-kHA/edit?usp=sharing"",""แผน!AM20"")"),0)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IFERROR(__xludf.DUMMYFUNCTION("IMPORTRANGE(""https://docs.google.com/spreadsheets/d/1QqKyyYR6Q21VydFLVH3TRQUabQu_ym0Zz7PgGX0-kHA/edit?usp=sharing"",""แผน!AP20"")"),3000)</f>
        <v>3000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IFERROR(__xludf.DUMMYFUNCTION("IMPORTRANGE(""https://docs.google.com/spreadsheets/d/1QqKyyYR6Q21VydFLVH3TRQUabQu_ym0Zz7PgGX0-kHA/edit?usp=sharing"",""แผน!AQ20"")"),5000)</f>
        <v>5000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IFERROR(__xludf.DUMMYFUNCTION("IMPORTRANGE(""https://docs.google.com/spreadsheets/d/1QqKyyYR6Q21VydFLVH3TRQUabQu_ym0Zz7PgGX0-kHA/edit?usp=sharing"",""แผน!AR20"")"),10000)</f>
        <v>10000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IFERROR(__xludf.DUMMYFUNCTION("IMPORTRANGE(""https://docs.google.com/spreadsheets/d/1QqKyyYR6Q21VydFLVH3TRQUabQu_ym0Zz7PgGX0-kHA/edit?usp=sharing"",""แผน!AT20"")"),20000)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IFERROR(__xludf.DUMMYFUNCTION("IMPORTRANGE(""https://docs.google.com/spreadsheets/d/1QqKyyYR6Q21VydFLVH3TRQUabQu_ym0Zz7PgGX0-kHA/edit?usp=sharing"",""แผน!AT20"")"),20000)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IFERROR(__xludf.DUMMYFUNCTION("IMPORTRANGE(""https://docs.google.com/spreadsheets/d/1QqKyyYR6Q21VydFLVH3TRQUabQu_ym0Zz7PgGX0-kHA/edit?usp=sharing"",""แผน!AS20"")"),10)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40</v>
      </c>
      <c r="J226" s="841">
        <f t="shared" si="105"/>
        <v>40</v>
      </c>
      <c r="K226" s="842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389580</v>
      </c>
      <c r="M227" s="851"/>
      <c r="N227" s="851">
        <f t="shared" ref="N227:N231" si="107">N238+N249</f>
        <v>42510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26840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166580</v>
      </c>
      <c r="M229" s="93"/>
      <c r="N229" s="93">
        <f t="shared" si="107"/>
        <v>15670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40</v>
      </c>
      <c r="J233" s="584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40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1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389580</v>
      </c>
      <c r="M238" s="155"/>
      <c r="N238" s="155">
        <f>N239+N240+N241+N242</f>
        <v>42510</v>
      </c>
      <c r="O238" s="155">
        <f ca="1">IF(L238&gt;0,N238*100/L238,0)</f>
        <v>10.911751116587094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IFERROR(__xludf.DUMMYFUNCTION("IMPORTRANGE(""https://docs.google.com/spreadsheets/d/1QqKyyYR6Q21VydFLVH3TRQUabQu_ym0Zz7PgGX0-kHA/edit?usp=sharing"",""แผน!AV20"")"),163000)</f>
        <v>163000</v>
      </c>
      <c r="M239" s="322"/>
      <c r="N239" s="341">
        <v>26840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IFERROR(__xludf.DUMMYFUNCTION("IMPORTRANGE(""https://docs.google.com/spreadsheets/d/1QqKyyYR6Q21VydFLVH3TRQUabQu_ym0Zz7PgGX0-kHA/edit?usp=sharing"",""แผน!AW20"")"),166580)</f>
        <v>166580</v>
      </c>
      <c r="M240" s="322"/>
      <c r="N240" s="341">
        <v>15670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IFERROR(__xludf.DUMMYFUNCTION("IMPORTRANGE(""https://docs.google.com/spreadsheets/d/1QqKyyYR6Q21VydFLVH3TRQUabQu_ym0Zz7PgGX0-kHA/edit?usp=sharing"",""แผน!AX20"")"),20000)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IFERROR(__xludf.DUMMYFUNCTION("IMPORTRANGE(""https://docs.google.com/spreadsheets/d/1QqKyyYR6Q21VydFLVH3TRQUabQu_ym0Zz7PgGX0-kHA/edit?usp=sharing"",""แผน!AY20"")"),40000)</f>
        <v>40000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IFERROR(__xludf.DUMMYFUNCTION("IMPORTRANGE(""https://docs.google.com/spreadsheets/d/1QqKyyYR6Q21VydFLVH3TRQUabQu_ym0Zz7PgGX0-kHA/edit?usp=sharing"",""แผน!BE20"")"),40)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18470</v>
      </c>
      <c r="O261" s="155">
        <f t="shared" ref="O261:O269" ca="1" si="117">IF(L261&gt;0,N261*100/L261,0)</f>
        <v>68.661710037174714</v>
      </c>
      <c r="P261" s="155">
        <f t="shared" ref="P261:P269" ca="1" si="118">IF(M261&gt;0,N261*100/M261,0)</f>
        <v>77.280334728033466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18470</v>
      </c>
      <c r="O263" s="93">
        <f t="shared" ca="1" si="117"/>
        <v>68.661710037174714</v>
      </c>
      <c r="P263" s="93">
        <f t="shared" ca="1" si="118"/>
        <v>77.280334728033466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18470</v>
      </c>
      <c r="O264" s="466">
        <f t="shared" ca="1" si="117"/>
        <v>68.661710037174714</v>
      </c>
      <c r="P264" s="466">
        <f t="shared" ca="1" si="118"/>
        <v>77.280334728033466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IFERROR(__xludf.DUMMYFUNCTION("IMPORTRANGE(""https://docs.google.com/spreadsheets/d/1MeEWN-I1oV_STSDYn1IFDPWt_1FKiwhDph83XaGc0o0/edit?usp=sharing"",""งบพรบ!CY20"")"),26900)</f>
        <v>26900</v>
      </c>
      <c r="M266" s="93">
        <f ca="1">IFERROR(__xludf.DUMMYFUNCTION("IMPORTRANGE(""https://docs.google.com/spreadsheets/d/1MeEWN-I1oV_STSDYn1IFDPWt_1FKiwhDph83XaGc0o0/edit?usp=sharing"",""งบพรบ!DD20"")"),23900)</f>
        <v>23900</v>
      </c>
      <c r="N266" s="93">
        <f ca="1">IFERROR(__xludf.DUMMYFUNCTION("IMPORTRANGE(""https://docs.google.com/spreadsheets/d/1MeEWN-I1oV_STSDYn1IFDPWt_1FKiwhDph83XaGc0o0/edit?usp=sharing"",""งบพรบ!DF20"")"),18470)</f>
        <v>18470</v>
      </c>
      <c r="O266" s="93">
        <f t="shared" ca="1" si="117"/>
        <v>68.661710037174714</v>
      </c>
      <c r="P266" s="93">
        <f t="shared" ca="1" si="118"/>
        <v>77.280334728033466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IFERROR(__xludf.DUMMYFUNCTION("IMPORTRANGE(""https://docs.google.com/spreadsheets/d/1MeEWN-I1oV_STSDYn1IFDPWt_1FKiwhDph83XaGc0o0/edit?usp=sharing"",""งบพรบ!DB20"")"),0)</f>
        <v>0</v>
      </c>
      <c r="M269" s="93">
        <f ca="1">IFERROR(__xludf.DUMMYFUNCTION("IMPORTRANGE(""https://docs.google.com/spreadsheets/d/1MeEWN-I1oV_STSDYn1IFDPWt_1FKiwhDph83XaGc0o0/edit?usp=sharing"",""งบพรบ!DE20"")"),0)</f>
        <v>0</v>
      </c>
      <c r="N269" s="93">
        <f ca="1">IFERROR(__xludf.DUMMYFUNCTION("IMPORTRANGE(""https://docs.google.com/spreadsheets/d/1MeEWN-I1oV_STSDYn1IFDPWt_1FKiwhDph83XaGc0o0/edit?usp=sharing"",""งบพรบ!DG20"")"),0)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3">
        <f t="shared" ref="I276:J276" ca="1" si="124">I287</f>
        <v>100</v>
      </c>
      <c r="J276" s="883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9450</v>
      </c>
      <c r="O277" s="155">
        <f t="shared" ref="O277:O285" ca="1" si="126">IF(L277&gt;0,N277*100/L277,0)</f>
        <v>23.043160204828091</v>
      </c>
      <c r="P277" s="155">
        <f t="shared" ref="P277:P285" ca="1" si="127">IF(M277&gt;0,N277*100/M277,0)</f>
        <v>43.052391799544417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9450</v>
      </c>
      <c r="O279" s="93">
        <f t="shared" ca="1" si="126"/>
        <v>23.043160204828091</v>
      </c>
      <c r="P279" s="93">
        <f t="shared" ca="1" si="127"/>
        <v>43.052391799544417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21950</v>
      </c>
      <c r="N280" s="466">
        <f t="shared" ca="1" si="129"/>
        <v>9450</v>
      </c>
      <c r="O280" s="466">
        <f t="shared" ca="1" si="126"/>
        <v>23.043160204828091</v>
      </c>
      <c r="P280" s="466">
        <f t="shared" ca="1" si="127"/>
        <v>43.052391799544417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IFERROR(__xludf.DUMMYFUNCTION("IMPORTRANGE(""https://docs.google.com/spreadsheets/d/1MeEWN-I1oV_STSDYn1IFDPWt_1FKiwhDph83XaGc0o0/edit?usp=sharing"",""งบพรบ!DI20"")"),41010)</f>
        <v>41010</v>
      </c>
      <c r="M282" s="93">
        <f ca="1">IFERROR(__xludf.DUMMYFUNCTION("IMPORTRANGE(""https://docs.google.com/spreadsheets/d/1MeEWN-I1oV_STSDYn1IFDPWt_1FKiwhDph83XaGc0o0/edit?usp=sharing"",""งบพรบ!DN20"")"),21950)</f>
        <v>21950</v>
      </c>
      <c r="N282" s="93">
        <f ca="1">IFERROR(__xludf.DUMMYFUNCTION("IMPORTRANGE(""https://docs.google.com/spreadsheets/d/1MeEWN-I1oV_STSDYn1IFDPWt_1FKiwhDph83XaGc0o0/edit?usp=sharing"",""งบพรบ!DP20"")"),9450)</f>
        <v>9450</v>
      </c>
      <c r="O282" s="93">
        <f t="shared" ca="1" si="126"/>
        <v>23.043160204828091</v>
      </c>
      <c r="P282" s="93">
        <f t="shared" ca="1" si="127"/>
        <v>43.052391799544417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IFERROR(__xludf.DUMMYFUNCTION("IMPORTRANGE(""https://docs.google.com/spreadsheets/d/1MeEWN-I1oV_STSDYn1IFDPWt_1FKiwhDph83XaGc0o0/edit?usp=sharing"",""งบพรบ!DL20"")"),0)</f>
        <v>0</v>
      </c>
      <c r="M285" s="93">
        <f ca="1">IFERROR(__xludf.DUMMYFUNCTION("IMPORTRANGE(""https://docs.google.com/spreadsheets/d/1MeEWN-I1oV_STSDYn1IFDPWt_1FKiwhDph83XaGc0o0/edit?usp=sharing"",""งบพรบ!DO20"")"),0)</f>
        <v>0</v>
      </c>
      <c r="N285" s="93">
        <f ca="1">IFERROR(__xludf.DUMMYFUNCTION("IMPORTRANGE(""https://docs.google.com/spreadsheets/d/1MeEWN-I1oV_STSDYn1IFDPWt_1FKiwhDph83XaGc0o0/edit?usp=sharing"",""งบพรบ!DQ20"")"),0)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IFERROR(__xludf.DUMMYFUNCTION("IMPORTRANGE(""https://docs.google.com/spreadsheets/d/1QqKyyYR6Q21VydFLVH3TRQUabQu_ym0Zz7PgGX0-kHA/edit?usp=sharing"",""แผน!EC20"")"),100)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IFERROR(__xludf.DUMMYFUNCTION("IMPORTRANGE(""https://docs.google.com/spreadsheets/d/1QqKyyYR6Q21VydFLVH3TRQUabQu_ym0Zz7PgGX0-kHA/edit?usp=sharing"",""แผน!EB20"")"),10)</f>
        <v>10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IFERROR(__xludf.DUMMYFUNCTION("IMPORTRANGE(""https://docs.google.com/spreadsheets/d/1QqKyyYR6Q21VydFLVH3TRQUabQu_ym0Zz7PgGX0-kHA/edit?usp=sharing"",""แผน!EB20"")"),10)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IFERROR(__xludf.DUMMYFUNCTION("IMPORTRANGE(""https://docs.google.com/spreadsheets/d/1QqKyyYR6Q21VydFLVH3TRQUabQu_ym0Zz7PgGX0-kHA/edit?usp=sharing"",""แผน!EB20"")"),10)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IFERROR(__xludf.DUMMYFUNCTION("IMPORTRANGE(""https://docs.google.com/spreadsheets/d/1QqKyyYR6Q21VydFLVH3TRQUabQu_ym0Zz7PgGX0-kHA/edit?usp=sharing"",""แผน!EB20"")"),10)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IFERROR(__xludf.DUMMYFUNCTION("IMPORTRANGE(""https://docs.google.com/spreadsheets/d/1QqKyyYR6Q21VydFLVH3TRQUabQu_ym0Zz7PgGX0-kHA/edit?usp=sharing"",""แผน!EB20"")"),10)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179120</v>
      </c>
      <c r="N298" s="155">
        <f t="shared" ca="1" si="135"/>
        <v>158352</v>
      </c>
      <c r="O298" s="155">
        <f t="shared" ref="O298:O306" ca="1" si="136">IF(L298&gt;0,N298*100/L298,0)</f>
        <v>42.983713355048863</v>
      </c>
      <c r="P298" s="155">
        <f t="shared" ref="P298:P306" ca="1" si="137">IF(M298&gt;0,N298*100/M298,0)</f>
        <v>88.405538186690492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368400</v>
      </c>
      <c r="M300" s="93">
        <f t="shared" ca="1" si="138"/>
        <v>179120</v>
      </c>
      <c r="N300" s="93">
        <f t="shared" ca="1" si="138"/>
        <v>158352</v>
      </c>
      <c r="O300" s="93">
        <f t="shared" ca="1" si="136"/>
        <v>42.983713355048863</v>
      </c>
      <c r="P300" s="93">
        <f t="shared" ca="1" si="137"/>
        <v>88.405538186690492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179120</v>
      </c>
      <c r="N301" s="466">
        <f t="shared" ca="1" si="139"/>
        <v>158352</v>
      </c>
      <c r="O301" s="466">
        <f t="shared" ca="1" si="136"/>
        <v>42.983713355048863</v>
      </c>
      <c r="P301" s="466">
        <f t="shared" ca="1" si="137"/>
        <v>88.405538186690492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IFERROR(__xludf.DUMMYFUNCTION("IMPORTRANGE(""https://docs.google.com/spreadsheets/d/1MeEWN-I1oV_STSDYn1IFDPWt_1FKiwhDph83XaGc0o0/edit?usp=sharing"",""งบพรบ!DS20"")"),368400)</f>
        <v>368400</v>
      </c>
      <c r="M303" s="93">
        <f ca="1">IFERROR(__xludf.DUMMYFUNCTION("IMPORTRANGE(""https://docs.google.com/spreadsheets/d/1MeEWN-I1oV_STSDYn1IFDPWt_1FKiwhDph83XaGc0o0/edit?usp=sharing"",""งบพรบ!DX20"")"),179120)</f>
        <v>179120</v>
      </c>
      <c r="N303" s="93">
        <f ca="1">IFERROR(__xludf.DUMMYFUNCTION("IMPORTRANGE(""https://docs.google.com/spreadsheets/d/1MeEWN-I1oV_STSDYn1IFDPWt_1FKiwhDph83XaGc0o0/edit?usp=sharing"",""งบพรบ!DZ20"")"),158352)</f>
        <v>158352</v>
      </c>
      <c r="O303" s="93">
        <f t="shared" ca="1" si="136"/>
        <v>42.983713355048863</v>
      </c>
      <c r="P303" s="93">
        <f t="shared" ca="1" si="137"/>
        <v>88.405538186690492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IFERROR(__xludf.DUMMYFUNCTION("IMPORTRANGE(""https://docs.google.com/spreadsheets/d/1MeEWN-I1oV_STSDYn1IFDPWt_1FKiwhDph83XaGc0o0/edit?usp=sharing"",""งบพรบ!DV20"")"),0)</f>
        <v>0</v>
      </c>
      <c r="M306" s="93">
        <f ca="1">IFERROR(__xludf.DUMMYFUNCTION("IMPORTRANGE(""https://docs.google.com/spreadsheets/d/1MeEWN-I1oV_STSDYn1IFDPWt_1FKiwhDph83XaGc0o0/edit?usp=sharing"",""งบพรบ!DY20"")"),0)</f>
        <v>0</v>
      </c>
      <c r="N306" s="93">
        <f ca="1">IFERROR(__xludf.DUMMYFUNCTION("IMPORTRANGE(""https://docs.google.com/spreadsheets/d/1MeEWN-I1oV_STSDYn1IFDPWt_1FKiwhDph83XaGc0o0/edit?usp=sharing"",""งบพรบ!EA20"")"),0)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IFERROR(__xludf.DUMMYFUNCTION("IMPORTRANGE(""https://docs.google.com/spreadsheets/d/1QqKyyYR6Q21VydFLVH3TRQUabQu_ym0Zz7PgGX0-kHA/edit?usp=sharing"",""แผน!EE20"")"),4)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IFERROR(__xludf.DUMMYFUNCTION("IMPORTRANGE(""https://docs.google.com/spreadsheets/d/1MeEWN-I1oV_STSDYn1IFDPWt_1FKiwhDph83XaGc0o0/edit?usp=sharing"",""งบพรบ!EC20"")"),0)</f>
        <v>0</v>
      </c>
      <c r="M320" s="93">
        <f ca="1">IFERROR(__xludf.DUMMYFUNCTION("IMPORTRANGE(""https://docs.google.com/spreadsheets/d/1MeEWN-I1oV_STSDYn1IFDPWt_1FKiwhDph83XaGc0o0/edit?usp=sharing"",""งบพรบ!EH20"")"),0)</f>
        <v>0</v>
      </c>
      <c r="N320" s="93">
        <f ca="1">IFERROR(__xludf.DUMMYFUNCTION("IMPORTRANGE(""https://docs.google.com/spreadsheets/d/1MeEWN-I1oV_STSDYn1IFDPWt_1FKiwhDph83XaGc0o0/edit?usp=sharing"",""งบพรบ!EJ20"")"),0)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IFERROR(__xludf.DUMMYFUNCTION("IMPORTRANGE(""https://docs.google.com/spreadsheets/d/1MeEWN-I1oV_STSDYn1IFDPWt_1FKiwhDph83XaGc0o0/edit?usp=sharing"",""งบพรบ!EF20"")"),0)</f>
        <v>0</v>
      </c>
      <c r="M323" s="93">
        <f ca="1">IFERROR(__xludf.DUMMYFUNCTION("IMPORTRANGE(""https://docs.google.com/spreadsheets/d/1MeEWN-I1oV_STSDYn1IFDPWt_1FKiwhDph83XaGc0o0/edit?usp=sharing"",""งบพรบ!EI20"")"),0)</f>
        <v>0</v>
      </c>
      <c r="N323" s="93">
        <f ca="1">IFERROR(__xludf.DUMMYFUNCTION("IMPORTRANGE(""https://docs.google.com/spreadsheets/d/1MeEWN-I1oV_STSDYn1IFDPWt_1FKiwhDph83XaGc0o0/edit?usp=sharing"",""งบพรบ!EK20"")"),0)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IFERROR(__xludf.DUMMYFUNCTION("IMPORTRANGE(""https://docs.google.com/spreadsheets/d/1QqKyyYR6Q21VydFLVH3TRQUabQu_ym0Zz7PgGX0-kHA/edit?usp=sharing"",""แผน!EF20"")"),0)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IFERROR(__xludf.DUMMYFUNCTION("IMPORTRANGE(""https://docs.google.com/spreadsheets/d/1QqKyyYR6Q21VydFLVH3TRQUabQu_ym0Zz7PgGX0-kHA/edit?usp=sharing"",""แผน!EG20"")"),1600)</f>
        <v>1600</v>
      </c>
      <c r="J327" s="413">
        <f ca="1">J338+J341+J342+J343</f>
        <v>1300</v>
      </c>
      <c r="K327" s="414">
        <f ca="1">IF(I327&gt;0,J327*100/I327,0)</f>
        <v>81.25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168000</v>
      </c>
      <c r="M328" s="155">
        <f t="shared" ca="1" si="149"/>
        <v>84000</v>
      </c>
      <c r="N328" s="155">
        <f t="shared" ca="1" si="149"/>
        <v>30190</v>
      </c>
      <c r="O328" s="155">
        <f t="shared" ref="O328:O336" ca="1" si="150">IF(L328&gt;0,N328*100/L328,0)</f>
        <v>17.970238095238095</v>
      </c>
      <c r="P328" s="155">
        <f t="shared" ref="P328:P336" ca="1" si="151">IF(M328&gt;0,N328*100/M328,0)</f>
        <v>35.94047619047619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168000</v>
      </c>
      <c r="M330" s="93">
        <f t="shared" ca="1" si="152"/>
        <v>84000</v>
      </c>
      <c r="N330" s="93">
        <f t="shared" ca="1" si="152"/>
        <v>30190</v>
      </c>
      <c r="O330" s="93">
        <f t="shared" ca="1" si="150"/>
        <v>17.970238095238095</v>
      </c>
      <c r="P330" s="93">
        <f t="shared" ca="1" si="151"/>
        <v>35.94047619047619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168000</v>
      </c>
      <c r="M331" s="466">
        <f t="shared" ca="1" si="153"/>
        <v>84000</v>
      </c>
      <c r="N331" s="466">
        <f t="shared" ca="1" si="153"/>
        <v>30190</v>
      </c>
      <c r="O331" s="466">
        <f t="shared" ca="1" si="150"/>
        <v>17.970238095238095</v>
      </c>
      <c r="P331" s="466">
        <f t="shared" ca="1" si="151"/>
        <v>35.94047619047619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IFERROR(__xludf.DUMMYFUNCTION("IMPORTRANGE(""https://docs.google.com/spreadsheets/d/1MeEWN-I1oV_STSDYn1IFDPWt_1FKiwhDph83XaGc0o0/edit?usp=sharing"",""งบพรบ!EM20"")"),168000)</f>
        <v>168000</v>
      </c>
      <c r="M333" s="93">
        <f ca="1">IFERROR(__xludf.DUMMYFUNCTION("IMPORTRANGE(""https://docs.google.com/spreadsheets/d/1MeEWN-I1oV_STSDYn1IFDPWt_1FKiwhDph83XaGc0o0/edit?usp=sharing"",""งบพรบ!ER20"")"),84000)</f>
        <v>84000</v>
      </c>
      <c r="N333" s="93">
        <f ca="1">IFERROR(__xludf.DUMMYFUNCTION("IMPORTRANGE(""https://docs.google.com/spreadsheets/d/1MeEWN-I1oV_STSDYn1IFDPWt_1FKiwhDph83XaGc0o0/edit?usp=sharing"",""งบพรบ!ET20"")"),30190)</f>
        <v>30190</v>
      </c>
      <c r="O333" s="93">
        <f t="shared" ca="1" si="150"/>
        <v>17.970238095238095</v>
      </c>
      <c r="P333" s="93">
        <f t="shared" ca="1" si="151"/>
        <v>35.94047619047619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IFERROR(__xludf.DUMMYFUNCTION("IMPORTRANGE(""https://docs.google.com/spreadsheets/d/1MeEWN-I1oV_STSDYn1IFDPWt_1FKiwhDph83XaGc0o0/edit?usp=sharing"",""งบพรบ!EP20"")"),0)</f>
        <v>0</v>
      </c>
      <c r="M336" s="93">
        <f ca="1">IFERROR(__xludf.DUMMYFUNCTION("IMPORTRANGE(""https://docs.google.com/spreadsheets/d/1MeEWN-I1oV_STSDYn1IFDPWt_1FKiwhDph83XaGc0o0/edit?usp=sharing"",""งบพรบ!ES20"")"),0)</f>
        <v>0</v>
      </c>
      <c r="N336" s="93">
        <f ca="1">IFERROR(__xludf.DUMMYFUNCTION("IMPORTRANGE(""https://docs.google.com/spreadsheets/d/1MeEWN-I1oV_STSDYn1IFDPWt_1FKiwhDph83XaGc0o0/edit?usp=sharing"",""งบพรบ!EU20"")"),0)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IFERROR(__xludf.DUMMYFUNCTION("IMPORTRANGE(""https://docs.google.com/spreadsheets/d/1QqKyyYR6Q21VydFLVH3TRQUabQu_ym0Zz7PgGX0-kHA/edit?usp=sharing"",""แผน!EG20"")"),1600)</f>
        <v>1600</v>
      </c>
      <c r="J338" s="270">
        <f ca="1">IFERROR(__xludf.DUMMYFUNCTION("IMPORTRANGE(""https://docs.google.com/spreadsheets/d/1kVcqe37tkHyjCSG3S0O1AXqVkqjo8mSIZil3BcpIysc/edit?usp=sharing"",""ศูนย์!D20"")"),1244)</f>
        <v>1244</v>
      </c>
      <c r="K338" s="466">
        <f ca="1">IF(I338&gt;0,J338*100/I338,0)</f>
        <v>77.75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IFERROR(__xludf.DUMMYFUNCTION("IMPORTRANGE(""https://docs.google.com/spreadsheets/d/1QqKyyYR6Q21VydFLVH3TRQUabQu_ym0Zz7PgGX0-kHA/edit?usp=sharing"",""แผน!EH20"")"),5)</f>
        <v>5</v>
      </c>
      <c r="J340" s="270">
        <f ca="1">IFERROR(__xludf.DUMMYFUNCTION("IMPORTRANGE(""https://docs.google.com/spreadsheets/d/1kVcqe37tkHyjCSG3S0O1AXqVkqjo8mSIZil3BcpIysc/edit?usp=sharing"",""ศูนย์!E20"")"),1)</f>
        <v>1</v>
      </c>
      <c r="K340" s="466">
        <f ca="1">IF(I340&gt;0,J340*100/I340,0)</f>
        <v>20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IFERROR(__xludf.DUMMYFUNCTION("IMPORTRANGE(""https://docs.google.com/spreadsheets/d/1kVcqe37tkHyjCSG3S0O1AXqVkqjo8mSIZil3BcpIysc/edit?usp=sharing"",""ศูนย์!F20"")"),56)</f>
        <v>56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590000</v>
      </c>
      <c r="M345" s="155">
        <f t="shared" ca="1" si="155"/>
        <v>343900</v>
      </c>
      <c r="N345" s="155">
        <f t="shared" ca="1" si="155"/>
        <v>250314.07</v>
      </c>
      <c r="O345" s="155">
        <f t="shared" ref="O345:O353" ca="1" si="156">IF(L345&gt;0,N345*100/L345,0)</f>
        <v>42.426113559322033</v>
      </c>
      <c r="P345" s="155">
        <f t="shared" ref="P345:P353" ca="1" si="157">IF(M345&gt;0,N345*100/M345,0)</f>
        <v>72.786876999127657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590000</v>
      </c>
      <c r="M347" s="93">
        <f t="shared" ca="1" si="158"/>
        <v>343900</v>
      </c>
      <c r="N347" s="93">
        <f t="shared" ca="1" si="158"/>
        <v>250314.07</v>
      </c>
      <c r="O347" s="93">
        <f t="shared" ca="1" si="156"/>
        <v>42.426113559322033</v>
      </c>
      <c r="P347" s="93">
        <f t="shared" ca="1" si="157"/>
        <v>72.786876999127657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492200</v>
      </c>
      <c r="M348" s="466">
        <f t="shared" ca="1" si="159"/>
        <v>246100</v>
      </c>
      <c r="N348" s="466">
        <f t="shared" ca="1" si="159"/>
        <v>152514.07</v>
      </c>
      <c r="O348" s="466">
        <f t="shared" ca="1" si="156"/>
        <v>30.986198699715562</v>
      </c>
      <c r="P348" s="466">
        <f t="shared" ca="1" si="157"/>
        <v>61.972397399431124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IFERROR(__xludf.DUMMYFUNCTION("IMPORTRANGE(""https://docs.google.com/spreadsheets/d/1MeEWN-I1oV_STSDYn1IFDPWt_1FKiwhDph83XaGc0o0/edit?usp=sharing"",""งบพรบ!EW20"")"),492200)</f>
        <v>492200</v>
      </c>
      <c r="M350" s="93">
        <f ca="1">IFERROR(__xludf.DUMMYFUNCTION("IMPORTRANGE(""https://docs.google.com/spreadsheets/d/1MeEWN-I1oV_STSDYn1IFDPWt_1FKiwhDph83XaGc0o0/edit?usp=sharing"",""งบพรบ!FB20"")"),246100)</f>
        <v>246100</v>
      </c>
      <c r="N350" s="93">
        <f ca="1">IFERROR(__xludf.DUMMYFUNCTION("IMPORTRANGE(""https://docs.google.com/spreadsheets/d/1MeEWN-I1oV_STSDYn1IFDPWt_1FKiwhDph83XaGc0o0/edit?usp=sharing"",""งบพรบ!FD20"")"),152514.07)</f>
        <v>152514.07</v>
      </c>
      <c r="O350" s="93">
        <f t="shared" ca="1" si="156"/>
        <v>30.986198699715562</v>
      </c>
      <c r="P350" s="93">
        <f t="shared" ca="1" si="157"/>
        <v>61.972397399431124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IFERROR(__xludf.DUMMYFUNCTION("IMPORTRANGE(""https://docs.google.com/spreadsheets/d/1MeEWN-I1oV_STSDYn1IFDPWt_1FKiwhDph83XaGc0o0/edit?usp=sharing"",""งบพรบ!EZ20"")"),97800)</f>
        <v>97800</v>
      </c>
      <c r="M353" s="93">
        <f ca="1">IFERROR(__xludf.DUMMYFUNCTION("IMPORTRANGE(""https://docs.google.com/spreadsheets/d/1MeEWN-I1oV_STSDYn1IFDPWt_1FKiwhDph83XaGc0o0/edit?usp=sharing"",""งบพรบ!FC20"")"),97800)</f>
        <v>97800</v>
      </c>
      <c r="N353" s="93">
        <f ca="1">IFERROR(__xludf.DUMMYFUNCTION("IMPORTRANGE(""https://docs.google.com/spreadsheets/d/1MeEWN-I1oV_STSDYn1IFDPWt_1FKiwhDph83XaGc0o0/edit?usp=sharing"",""งบพรบ!FE20"")"),97800)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IFERROR(__xludf.DUMMYFUNCTION("IMPORTRANGE(""https://docs.google.com/spreadsheets/d/1QqKyyYR6Q21VydFLVH3TRQUabQu_ym0Zz7PgGX0-kHA/edit?usp=sharing"",""แผน!EP20"")"),240)</f>
        <v>240</v>
      </c>
      <c r="J355" s="433">
        <f ca="1">J362</f>
        <v>8</v>
      </c>
      <c r="K355" s="434">
        <f ca="1">IF(I355&gt;0,J355*100/I355,0)</f>
        <v>3.3333333333333335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IFERROR(__xludf.DUMMYFUNCTION("IMPORTRANGE(""https://docs.google.com/spreadsheets/d/1XWAQStnk-4SwqDmLtmXYiTMKHgktTP8We1SCoS47DrQ/edit?usp=sharing"",""จัดที่ดิน!W20"")"),16)</f>
        <v>16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IFERROR(__xludf.DUMMYFUNCTION("IMPORTRANGE(""https://docs.google.com/spreadsheets/d/1QqKyyYR6Q21VydFLVH3TRQUabQu_ym0Zz7PgGX0-kHA/edit?usp=sharing"",""แผน!EO20"")"),2000)</f>
        <v>2000</v>
      </c>
      <c r="J359" s="270">
        <f ca="1">IFERROR(__xludf.DUMMYFUNCTION("IMPORTRANGE(""https://docs.google.com/spreadsheets/d/1XWAQStnk-4SwqDmLtmXYiTMKHgktTP8We1SCoS47DrQ/edit?usp=sharing"",""จัดที่ดิน!X20"")"),104.18)</f>
        <v>104.18</v>
      </c>
      <c r="K359" s="466">
        <f t="shared" ca="1" si="161"/>
        <v>5.2089999999999996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IFERROR(__xludf.DUMMYFUNCTION("IMPORTRANGE(""https://docs.google.com/spreadsheets/d/1QqKyyYR6Q21VydFLVH3TRQUabQu_ym0Zz7PgGX0-kHA/edit?usp=sharing"",""แผน!EP20"")"),240)</f>
        <v>240</v>
      </c>
      <c r="J360" s="270">
        <f ca="1">IFERROR(__xludf.DUMMYFUNCTION("IMPORTRANGE(""https://docs.google.com/spreadsheets/d/1XWAQStnk-4SwqDmLtmXYiTMKHgktTP8We1SCoS47DrQ/edit?usp=sharing"",""จัดที่ดิน!Y20"")"),10)</f>
        <v>10</v>
      </c>
      <c r="K360" s="466">
        <f t="shared" ca="1" si="161"/>
        <v>4.166666666666667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IFERROR(__xludf.DUMMYFUNCTION("IMPORTRANGE(""https://docs.google.com/spreadsheets/d/1XWAQStnk-4SwqDmLtmXYiTMKHgktTP8We1SCoS47DrQ/edit?usp=sharing"",""จัดที่ดิน!Z20"")"),65.7599999999999)</f>
        <v>65.759999999999906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IFERROR(__xludf.DUMMYFUNCTION("IMPORTRANGE(""https://docs.google.com/spreadsheets/d/1QqKyyYR6Q21VydFLVH3TRQUabQu_ym0Zz7PgGX0-kHA/edit?usp=sharing"",""แผน!EP20"")"),240)</f>
        <v>240</v>
      </c>
      <c r="J362" s="270">
        <f ca="1">IFERROR(__xludf.DUMMYFUNCTION("IMPORTRANGE(""https://docs.google.com/spreadsheets/d/1XWAQStnk-4SwqDmLtmXYiTMKHgktTP8We1SCoS47DrQ/edit?usp=sharing"",""จัดที่ดิน!AA20"")"),8)</f>
        <v>8</v>
      </c>
      <c r="K362" s="466">
        <f t="shared" ca="1" si="161"/>
        <v>3.3333333333333335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IFERROR(__xludf.DUMMYFUNCTION("IMPORTRANGE(""https://docs.google.com/spreadsheets/d/1XWAQStnk-4SwqDmLtmXYiTMKHgktTP8We1SCoS47DrQ/edit?usp=sharing"",""จัดที่ดิน!AB20"")"),47.7)</f>
        <v>47.7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440</v>
      </c>
      <c r="J364" s="447">
        <f t="shared" ca="1" si="162"/>
        <v>40</v>
      </c>
      <c r="K364" s="448">
        <f t="shared" ca="1" si="161"/>
        <v>9.0909090909090917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IFERROR(__xludf.DUMMYFUNCTION("IMPORTRANGE(""https://docs.google.com/spreadsheets/d/1QqKyyYR6Q21VydFLVH3TRQUabQu_ym0Zz7PgGX0-kHA/edit?usp=sharing"",""แผน!EJ20"")"),100)</f>
        <v>100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IFERROR(__xludf.DUMMYFUNCTION("IMPORTRANGE(""https://docs.google.com/spreadsheets/d/1XWAQStnk-4SwqDmLtmXYiTMKHgktTP8We1SCoS47DrQ/edit?usp=sharing"",""จัดที่ดิน!E20"")"),7)</f>
        <v>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IFERROR(__xludf.DUMMYFUNCTION("IMPORTRANGE(""https://docs.google.com/spreadsheets/d/1QqKyyYR6Q21VydFLVH3TRQUabQu_ym0Zz7PgGX0-kHA/edit?usp=sharing"",""แผน!EI20"")"),1000)</f>
        <v>1000</v>
      </c>
      <c r="J369" s="270">
        <f ca="1">IFERROR(__xludf.DUMMYFUNCTION("IMPORTRANGE(""https://docs.google.com/spreadsheets/d/1XWAQStnk-4SwqDmLtmXYiTMKHgktTP8We1SCoS47DrQ/edit?usp=sharing"",""จัดที่ดิน!F20"")"),56.23)</f>
        <v>56.23</v>
      </c>
      <c r="K369" s="466">
        <f t="shared" ca="1" si="163"/>
        <v>5.6230000000000002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IFERROR(__xludf.DUMMYFUNCTION("IMPORTRANGE(""https://docs.google.com/spreadsheets/d/1QqKyyYR6Q21VydFLVH3TRQUabQu_ym0Zz7PgGX0-kHA/edit?usp=sharing"",""แผน!EJ20"")"),100)</f>
        <v>100</v>
      </c>
      <c r="J370" s="270">
        <f ca="1">IFERROR(__xludf.DUMMYFUNCTION("IMPORTRANGE(""https://docs.google.com/spreadsheets/d/1XWAQStnk-4SwqDmLtmXYiTMKHgktTP8We1SCoS47DrQ/edit?usp=sharing"",""จัดที่ดิน!G20"")"),4)</f>
        <v>4</v>
      </c>
      <c r="K370" s="466">
        <f t="shared" ca="1" si="163"/>
        <v>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IFERROR(__xludf.DUMMYFUNCTION("IMPORTRANGE(""https://docs.google.com/spreadsheets/d/1XWAQStnk-4SwqDmLtmXYiTMKHgktTP8We1SCoS47DrQ/edit?usp=sharing"",""จัดที่ดิน!H20"")"),38.18)</f>
        <v>38.18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IFERROR(__xludf.DUMMYFUNCTION("IMPORTRANGE(""https://docs.google.com/spreadsheets/d/1QqKyyYR6Q21VydFLVH3TRQUabQu_ym0Zz7PgGX0-kHA/edit?usp=sharing"",""แผน!EJ20"")"),100)</f>
        <v>100</v>
      </c>
      <c r="J372" s="270">
        <f ca="1">IFERROR(__xludf.DUMMYFUNCTION("IMPORTRANGE(""https://docs.google.com/spreadsheets/d/1XWAQStnk-4SwqDmLtmXYiTMKHgktTP8We1SCoS47DrQ/edit?usp=sharing"",""จัดที่ดิน!I20"")"),0)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IFERROR(__xludf.DUMMYFUNCTION("IMPORTRANGE(""https://docs.google.com/spreadsheets/d/1XWAQStnk-4SwqDmLtmXYiTMKHgktTP8We1SCoS47DrQ/edit?usp=sharing"",""จัดที่ดิน!J20"")"),0)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IFERROR(__xludf.DUMMYFUNCTION("IMPORTRANGE(""https://docs.google.com/spreadsheets/d/1QqKyyYR6Q21VydFLVH3TRQUabQu_ym0Zz7PgGX0-kHA/edit?usp=sharing"",""แผน!EU20"")"),340)</f>
        <v>340</v>
      </c>
      <c r="J374" s="459">
        <f ca="1">J381</f>
        <v>40</v>
      </c>
      <c r="K374" s="460">
        <f t="shared" ca="1" si="163"/>
        <v>11.764705882352942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IFERROR(__xludf.DUMMYFUNCTION("IMPORTRANGE(""https://docs.google.com/spreadsheets/d/1XWAQStnk-4SwqDmLtmXYiTMKHgktTP8We1SCoS47DrQ/edit?usp=sharing"",""จัดที่ดิน!AH20"")"),9)</f>
        <v>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IFERROR(__xludf.DUMMYFUNCTION("IMPORTRANGE(""https://docs.google.com/spreadsheets/d/1QqKyyYR6Q21VydFLVH3TRQUabQu_ym0Zz7PgGX0-kHA/edit?usp=sharing"",""แผน!ET20"")"),1000)</f>
        <v>1000</v>
      </c>
      <c r="J378" s="270">
        <f ca="1">IFERROR(__xludf.DUMMYFUNCTION("IMPORTRANGE(""https://docs.google.com/spreadsheets/d/1XWAQStnk-4SwqDmLtmXYiTMKHgktTP8We1SCoS47DrQ/edit?usp=sharing"",""จัดที่ดิน!AI20"")"),47.95)</f>
        <v>47.95</v>
      </c>
      <c r="K378" s="466">
        <f t="shared" ca="1" si="164"/>
        <v>4.7949999999999999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IFERROR(__xludf.DUMMYFUNCTION("IMPORTRANGE(""https://docs.google.com/spreadsheets/d/1QqKyyYR6Q21VydFLVH3TRQUabQu_ym0Zz7PgGX0-kHA/edit?usp=sharing"",""แผน!EU20"")"),340)</f>
        <v>340</v>
      </c>
      <c r="J379" s="270">
        <f ca="1">IFERROR(__xludf.DUMMYFUNCTION("IMPORTRANGE(""https://docs.google.com/spreadsheets/d/1XWAQStnk-4SwqDmLtmXYiTMKHgktTP8We1SCoS47DrQ/edit?usp=sharing"",""จัดที่ดิน!AJ20"")"),38)</f>
        <v>38</v>
      </c>
      <c r="K379" s="466">
        <f t="shared" ca="1" si="164"/>
        <v>11.176470588235293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IFERROR(__xludf.DUMMYFUNCTION("IMPORTRANGE(""https://docs.google.com/spreadsheets/d/1XWAQStnk-4SwqDmLtmXYiTMKHgktTP8We1SCoS47DrQ/edit?usp=sharing"",""จัดที่ดิน!AK20"")"),239.57)</f>
        <v>239.57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IFERROR(__xludf.DUMMYFUNCTION("IMPORTRANGE(""https://docs.google.com/spreadsheets/d/1QqKyyYR6Q21VydFLVH3TRQUabQu_ym0Zz7PgGX0-kHA/edit?usp=sharing"",""แผน!EU20"")"),340)</f>
        <v>340</v>
      </c>
      <c r="J381" s="270">
        <f ca="1">IFERROR(__xludf.DUMMYFUNCTION("IMPORTRANGE(""https://docs.google.com/spreadsheets/d/1XWAQStnk-4SwqDmLtmXYiTMKHgktTP8We1SCoS47DrQ/edit?usp=sharing"",""จัดที่ดิน!AL20"")"),40)</f>
        <v>40</v>
      </c>
      <c r="K381" s="466">
        <f t="shared" ca="1" si="164"/>
        <v>11.764705882352942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IFERROR(__xludf.DUMMYFUNCTION("IMPORTRANGE(""https://docs.google.com/spreadsheets/d/1XWAQStnk-4SwqDmLtmXYiTMKHgktTP8We1SCoS47DrQ/edit?usp=sharing"",""จัดที่ดิน!AM20"")"),259.69)</f>
        <v>259.69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IFERROR(__xludf.DUMMYFUNCTION("IMPORTRANGE(""https://docs.google.com/spreadsheets/d/1QqKyyYR6Q21VydFLVH3TRQUabQu_ym0Zz7PgGX0-kHA/edit?usp=sharing"",""แผน!EW20"")"),15)</f>
        <v>15</v>
      </c>
      <c r="J385" s="469">
        <f ca="1">IFERROR(__xludf.DUMMYFUNCTION("IMPORTRANGE(""https://docs.google.com/spreadsheets/d/1XWAQStnk-4SwqDmLtmXYiTMKHgktTP8We1SCoS47DrQ/edit?usp=sharing"",""จัดที่ดิน!AP20"")"),0)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IFERROR(__xludf.DUMMYFUNCTION("IMPORTRANGE(""https://docs.google.com/spreadsheets/d/1MeEWN-I1oV_STSDYn1IFDPWt_1FKiwhDph83XaGc0o0/edit?usp=sharing"",""งบพรบ!FG20"")"),0)</f>
        <v>0</v>
      </c>
      <c r="M394" s="93">
        <f ca="1">IFERROR(__xludf.DUMMYFUNCTION("IMPORTRANGE(""https://docs.google.com/spreadsheets/d/1MeEWN-I1oV_STSDYn1IFDPWt_1FKiwhDph83XaGc0o0/edit?usp=sharing"",""งบพรบ!FL20"")"),0)</f>
        <v>0</v>
      </c>
      <c r="N394" s="93">
        <f ca="1">IFERROR(__xludf.DUMMYFUNCTION("IMPORTRANGE(""https://docs.google.com/spreadsheets/d/1MeEWN-I1oV_STSDYn1IFDPWt_1FKiwhDph83XaGc0o0/edit?usp=sharing"",""งบพรบ!FN20"")"),0)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IFERROR(__xludf.DUMMYFUNCTION("IMPORTRANGE(""https://docs.google.com/spreadsheets/d/1MeEWN-I1oV_STSDYn1IFDPWt_1FKiwhDph83XaGc0o0/edit?usp=sharing"",""งบพรบ!FJ20"")"),0)</f>
        <v>0</v>
      </c>
      <c r="M397" s="93">
        <f ca="1">IFERROR(__xludf.DUMMYFUNCTION("IMPORTRANGE(""https://docs.google.com/spreadsheets/d/1MeEWN-I1oV_STSDYn1IFDPWt_1FKiwhDph83XaGc0o0/edit?usp=sharing"",""งบพรบ!FM20"")"),0)</f>
        <v>0</v>
      </c>
      <c r="N397" s="93">
        <f ca="1">IFERROR(__xludf.DUMMYFUNCTION("IMPORTRANGE(""https://docs.google.com/spreadsheets/d/1MeEWN-I1oV_STSDYn1IFDPWt_1FKiwhDph83XaGc0o0/edit?usp=sharing"",""งบพรบ!FO20"")"),0)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IFERROR(__xludf.DUMMYFUNCTION("IMPORTRANGE(""https://docs.google.com/spreadsheets/d/1MeEWN-I1oV_STSDYn1IFDPWt_1FKiwhDph83XaGc0o0/edit?usp=sharing"",""งบพรบ!FQ20"")"),0)</f>
        <v>0</v>
      </c>
      <c r="M407" s="93">
        <f ca="1">IFERROR(__xludf.DUMMYFUNCTION("IMPORTRANGE(""https://docs.google.com/spreadsheets/d/1MeEWN-I1oV_STSDYn1IFDPWt_1FKiwhDph83XaGc0o0/edit?usp=sharing"",""งบพรบ!FV20"")"),0)</f>
        <v>0</v>
      </c>
      <c r="N407" s="93">
        <f ca="1">IFERROR(__xludf.DUMMYFUNCTION("IMPORTRANGE(""https://docs.google.com/spreadsheets/d/1MeEWN-I1oV_STSDYn1IFDPWt_1FKiwhDph83XaGc0o0/edit?usp=sharing"",""งบพรบ!FX20"")"),0)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IFERROR(__xludf.DUMMYFUNCTION("IMPORTRANGE(""https://docs.google.com/spreadsheets/d/1MeEWN-I1oV_STSDYn1IFDPWt_1FKiwhDph83XaGc0o0/edit?usp=sharing"",""งบพรบ!FT20"")"),0)</f>
        <v>0</v>
      </c>
      <c r="M410" s="93">
        <f ca="1">IFERROR(__xludf.DUMMYFUNCTION("IMPORTRANGE(""https://docs.google.com/spreadsheets/d/1MeEWN-I1oV_STSDYn1IFDPWt_1FKiwhDph83XaGc0o0/edit?usp=sharing"",""งบพรบ!FW20"")"),0)</f>
        <v>0</v>
      </c>
      <c r="N410" s="93">
        <f ca="1">IFERROR(__xludf.DUMMYFUNCTION("IMPORTRANGE(""https://docs.google.com/spreadsheets/d/1MeEWN-I1oV_STSDYn1IFDPWt_1FKiwhDph83XaGc0o0/edit?usp=sharing"",""งบพรบ!FY20"")"),0)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1516149</v>
      </c>
      <c r="M414" s="517">
        <f t="shared" si="181"/>
        <v>0</v>
      </c>
      <c r="N414" s="517">
        <f t="shared" si="181"/>
        <v>168474</v>
      </c>
      <c r="O414" s="517">
        <f ca="1">IF(L414&gt;0,N414*100/L414,0)</f>
        <v>11.111968546627013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65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197440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197440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197440</v>
      </c>
      <c r="M422" s="466">
        <f t="shared" si="188"/>
        <v>0</v>
      </c>
      <c r="N422" s="466">
        <f t="shared" si="188"/>
        <v>0</v>
      </c>
      <c r="O422" s="466">
        <f t="shared" ca="1" si="185"/>
        <v>0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IFERROR(__xludf.DUMMYFUNCTION("IMPORTRANGE(""https://docs.google.com/spreadsheets/d/1QqKyyYR6Q21VydFLVH3TRQUabQu_ym0Zz7PgGX0-kHA/edit?usp=sharing"",""แผน!EY20"")"),197440)</f>
        <v>197440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65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2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IFERROR(__xludf.DUMMYFUNCTION("IMPORTRANGE(""https://docs.google.com/spreadsheets/d/1QqKyyYR6Q21VydFLVH3TRQUabQu_ym0Zz7PgGX0-kHA/edit?usp=sharing"",""แผน!FC20"")"),65)</f>
        <v>65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IFERROR(__xludf.DUMMYFUNCTION("IMPORTRANGE(""https://docs.google.com/spreadsheets/d/1QqKyyYR6Q21VydFLVH3TRQUabQu_ym0Zz7PgGX0-kHA/edit?usp=sharing"",""แผน!FD20"")"),30)</f>
        <v>30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IFERROR(__xludf.DUMMYFUNCTION("IMPORTRANGE(""https://docs.google.com/spreadsheets/d/1QqKyyYR6Q21VydFLVH3TRQUabQu_ym0Zz7PgGX0-kHA/edit?usp=sharing"",""แผน!FE20"")"),1)</f>
        <v>1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IFERROR(__xludf.DUMMYFUNCTION("IMPORTRANGE(""https://docs.google.com/spreadsheets/d/1QqKyyYR6Q21VydFLVH3TRQUabQu_ym0Zz7PgGX0-kHA/edit?usp=sharing"",""แผน!FF20"")"),35)</f>
        <v>35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IFERROR(__xludf.DUMMYFUNCTION("IMPORTRANGE(""https://docs.google.com/spreadsheets/d/1QqKyyYR6Q21VydFLVH3TRQUabQu_ym0Zz7PgGX0-kHA/edit?usp=sharing"",""แผน!FG20"")"),1)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60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100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379600</v>
      </c>
      <c r="M444" s="195">
        <f t="shared" si="197"/>
        <v>0</v>
      </c>
      <c r="N444" s="195">
        <f t="shared" si="197"/>
        <v>27080</v>
      </c>
      <c r="O444" s="195">
        <f t="shared" ref="O444:O449" ca="1" si="198">IF(L444&gt;0,N444*100/L444,0)</f>
        <v>7.1338250790305588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379600</v>
      </c>
      <c r="M446" s="93">
        <f t="shared" si="200"/>
        <v>0</v>
      </c>
      <c r="N446" s="93">
        <f t="shared" si="200"/>
        <v>27080</v>
      </c>
      <c r="O446" s="93">
        <f t="shared" ca="1" si="198"/>
        <v>7.1338250790305588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379600</v>
      </c>
      <c r="M447" s="466">
        <f t="shared" si="201"/>
        <v>0</v>
      </c>
      <c r="N447" s="466">
        <f t="shared" si="201"/>
        <v>27080</v>
      </c>
      <c r="O447" s="466">
        <f t="shared" ca="1" si="198"/>
        <v>7.1338250790305588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IFERROR(__xludf.DUMMYFUNCTION("IMPORTRANGE(""https://docs.google.com/spreadsheets/d/1QqKyyYR6Q21VydFLVH3TRQUabQu_ym0Zz7PgGX0-kHA/edit?usp=sharing"",""แผน!FJ20"")"),379600)</f>
        <v>379600</v>
      </c>
      <c r="M449" s="93">
        <v>0</v>
      </c>
      <c r="N449" s="93">
        <f>N450+N451+N452+N453</f>
        <v>27080</v>
      </c>
      <c r="O449" s="93">
        <f t="shared" ca="1" si="198"/>
        <v>7.1338250790305588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26000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1080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IFERROR(__xludf.DUMMYFUNCTION("IMPORTRANGE(""https://docs.google.com/spreadsheets/d/1QqKyyYR6Q21VydFLVH3TRQUabQu_ym0Zz7PgGX0-kHA/edit?usp=sharing"",""แผน!FN20"")"),60)</f>
        <v>60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IFERROR(__xludf.DUMMYFUNCTION("IMPORTRANGE(""https://docs.google.com/spreadsheets/d/1QqKyyYR6Q21VydFLVH3TRQUabQu_ym0Zz7PgGX0-kHA/edit?usp=sharing"",""แผน!FO20"")"),100)</f>
        <v>100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IFERROR(__xludf.DUMMYFUNCTION("IMPORTRANGE(""https://docs.google.com/spreadsheets/d/1QqKyyYR6Q21VydFLVH3TRQUabQu_ym0Zz7PgGX0-kHA/edit?usp=sharing"",""แผน!FO20"")"),100)</f>
        <v>100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IFERROR(__xludf.DUMMYFUNCTION("IMPORTRANGE(""https://docs.google.com/spreadsheets/d/1QqKyyYR6Q21VydFLVH3TRQUabQu_ym0Zz7PgGX0-kHA/edit?usp=sharing"",""แผน!FN20"")"),60)</f>
        <v>60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IFERROR(__xludf.DUMMYFUNCTION("IMPORTRANGE(""https://docs.google.com/spreadsheets/d/1QqKyyYR6Q21VydFLVH3TRQUabQu_ym0Zz7PgGX0-kHA/edit?usp=sharing"",""แผน!FX20"")"),31)</f>
        <v>31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IFERROR(__xludf.DUMMYFUNCTION("IMPORTRANGE(""https://docs.google.com/spreadsheets/d/1QqKyyYR6Q21VydFLVH3TRQUabQu_ym0Zz7PgGX0-kHA/edit?usp=sharing"",""แผน!FW20"")"),300)</f>
        <v>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260703</v>
      </c>
      <c r="M467" s="195">
        <f t="shared" si="206"/>
        <v>0</v>
      </c>
      <c r="N467" s="195">
        <f t="shared" si="206"/>
        <v>25880</v>
      </c>
      <c r="O467" s="195">
        <f t="shared" ref="O467:O472" ca="1" si="207">IF(L467&gt;0,N467*100/L467,0)</f>
        <v>9.9270050593970911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260703</v>
      </c>
      <c r="M469" s="93">
        <f t="shared" si="209"/>
        <v>0</v>
      </c>
      <c r="N469" s="93">
        <f t="shared" si="209"/>
        <v>25880</v>
      </c>
      <c r="O469" s="93">
        <f t="shared" ca="1" si="207"/>
        <v>9.9270050593970911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260703</v>
      </c>
      <c r="M470" s="466">
        <f t="shared" si="210"/>
        <v>0</v>
      </c>
      <c r="N470" s="466">
        <f t="shared" si="210"/>
        <v>25880</v>
      </c>
      <c r="O470" s="466">
        <f t="shared" ca="1" si="207"/>
        <v>9.9270050593970911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IFERROR(__xludf.DUMMYFUNCTION("IMPORTRANGE(""https://docs.google.com/spreadsheets/d/1QqKyyYR6Q21VydFLVH3TRQUabQu_ym0Zz7PgGX0-kHA/edit?usp=sharing"",""แผน!FS20"")"),260703)</f>
        <v>260703</v>
      </c>
      <c r="M472" s="93">
        <v>0</v>
      </c>
      <c r="N472" s="93">
        <f>N473+N474+N475+N476</f>
        <v>25880</v>
      </c>
      <c r="O472" s="93">
        <f t="shared" ca="1" si="207"/>
        <v>9.9270050593970911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16150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9730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IFERROR(__xludf.DUMMYFUNCTION("IMPORTRANGE(""https://docs.google.com/spreadsheets/d/1QqKyyYR6Q21VydFLVH3TRQUabQu_ym0Zz7PgGX0-kHA/edit?usp=sharing"",""แผน!FY20"")"),270)</f>
        <v>270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IFERROR(__xludf.DUMMYFUNCTION("IMPORTRANGE(""https://docs.google.com/spreadsheets/d/1QqKyyYR6Q21VydFLVH3TRQUabQu_ym0Zz7PgGX0-kHA/edit?usp=sharing"",""แผน!FZ20"")"),27)</f>
        <v>27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IFERROR(__xludf.DUMMYFUNCTION("IMPORTRANGE(""https://docs.google.com/spreadsheets/d/1QqKyyYR6Q21VydFLVH3TRQUabQu_ym0Zz7PgGX0-kHA/edit?usp=sharing"",""แผน!GA20"")"),30)</f>
        <v>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IFERROR(__xludf.DUMMYFUNCTION("IMPORTRANGE(""https://docs.google.com/spreadsheets/d/1QqKyyYR6Q21VydFLVH3TRQUabQu_ym0Zz7PgGX0-kHA/edit?usp=sharing"",""แผน!GB20"")"),3)</f>
        <v>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IFERROR(__xludf.DUMMYFUNCTION("IMPORTRANGE(""https://docs.google.com/spreadsheets/d/1QqKyyYR6Q21VydFLVH3TRQUabQu_ym0Zz7PgGX0-kHA/edit?usp=sharing"",""แผน!GC20"")"),1)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IFERROR(__xludf.DUMMYFUNCTION("IMPORTRANGE(""https://docs.google.com/spreadsheets/d/1QqKyyYR6Q21VydFLVH3TRQUabQu_ym0Zz7PgGX0-kHA/edit?usp=sharing"",""แผน!FY20"")"),270)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IFERROR(__xludf.DUMMYFUNCTION("IMPORTRANGE(""https://docs.google.com/spreadsheets/d/1QqKyyYR6Q21VydFLVH3TRQUabQu_ym0Zz7PgGX0-kHA/edit?usp=sharing"",""แผน!GA20"")"),30)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IFERROR(__xludf.DUMMYFUNCTION("IMPORTRANGE(""https://docs.google.com/spreadsheets/d/1QqKyyYR6Q21VydFLVH3TRQUabQu_ym0Zz7PgGX0-kHA/edit?usp=sharing"",""แผน!GU20"")"),0)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IFERROR(__xludf.DUMMYFUNCTION("IMPORTRANGE(""https://docs.google.com/spreadsheets/d/1QqKyyYR6Q21VydFLVH3TRQUabQu_ym0Zz7PgGX0-kHA/edit?usp=sharing"",""แผน!GV20"")"),0)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IFERROR(__xludf.DUMMYFUNCTION("IMPORTRANGE(""https://docs.google.com/spreadsheets/d/1QqKyyYR6Q21VydFLVH3TRQUabQu_ym0Zz7PgGX0-kHA/edit?usp=sharing"",""แผน!GY20"")"),0)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IFERROR(__xludf.DUMMYFUNCTION("IMPORTRANGE(""https://docs.google.com/spreadsheets/d/1QqKyyYR6Q21VydFLVH3TRQUabQu_ym0Zz7PgGX0-kHA/edit?usp=sharing"",""แผน!GZ20"")"),0)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25837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319746</v>
      </c>
      <c r="M544" s="155">
        <f t="shared" si="236"/>
        <v>0</v>
      </c>
      <c r="N544" s="155">
        <f t="shared" si="236"/>
        <v>61054</v>
      </c>
      <c r="O544" s="155">
        <f t="shared" ref="O544:O549" ca="1" si="237">IF(L544&gt;0,N544*100/L544,0)</f>
        <v>19.094531284206838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319746</v>
      </c>
      <c r="M546" s="93">
        <f t="shared" si="240"/>
        <v>0</v>
      </c>
      <c r="N546" s="93">
        <f t="shared" si="240"/>
        <v>61054</v>
      </c>
      <c r="O546" s="93">
        <f t="shared" ca="1" si="237"/>
        <v>19.094531284206838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319746</v>
      </c>
      <c r="M547" s="466">
        <f t="shared" si="241"/>
        <v>0</v>
      </c>
      <c r="N547" s="466">
        <f t="shared" si="241"/>
        <v>61054</v>
      </c>
      <c r="O547" s="466">
        <f t="shared" ca="1" si="237"/>
        <v>19.094531284206838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IFERROR(__xludf.DUMMYFUNCTION("IMPORTRANGE(""https://docs.google.com/spreadsheets/d/1QqKyyYR6Q21VydFLVH3TRQUabQu_ym0Zz7PgGX0-kHA/edit?usp=sharing"",""แผน!HB20"")"),319746)</f>
        <v>319746</v>
      </c>
      <c r="M549" s="93">
        <v>0</v>
      </c>
      <c r="N549" s="93">
        <f>N550+N551+N552+N553+N554</f>
        <v>61054</v>
      </c>
      <c r="O549" s="93">
        <f t="shared" ca="1" si="237"/>
        <v>19.094531284206838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24264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36790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25837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IFERROR(__xludf.DUMMYFUNCTION("IMPORTRANGE(""https://docs.google.com/spreadsheets/d/1QqKyyYR6Q21VydFLVH3TRQUabQu_ym0Zz7PgGX0-kHA/edit?usp=sharing"",""แผน!HH20"")"),25837)</f>
        <v>25837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IFERROR(__xludf.DUMMYFUNCTION("IMPORTRANGE(""https://docs.google.com/spreadsheets/d/1QqKyyYR6Q21VydFLVH3TRQUabQu_ym0Zz7PgGX0-kHA/edit?usp=sharing"",""แผน!HG20"")"),4200)</f>
        <v>4200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IFERROR(__xludf.DUMMYFUNCTION("IMPORTRANGE(""https://docs.google.com/spreadsheets/d/1QqKyyYR6Q21VydFLVH3TRQUabQu_ym0Zz7PgGX0-kHA/edit?usp=sharing"",""แผน!HH20"")"),25837)</f>
        <v>25837</v>
      </c>
      <c r="J568" s="647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IFERROR(__xludf.DUMMYFUNCTION("IMPORTRANGE(""https://docs.google.com/spreadsheets/d/1QqKyyYR6Q21VydFLVH3TRQUabQu_ym0Zz7PgGX0-kHA/edit?usp=sharing"",""แผน!HG20"")"),4200)</f>
        <v>4200</v>
      </c>
      <c r="J569" s="647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IFERROR(__xludf.DUMMYFUNCTION("IMPORTRANGE(""https://docs.google.com/spreadsheets/d/1QqKyyYR6Q21VydFLVH3TRQUabQu_ym0Zz7PgGX0-kHA/edit?usp=sharing"",""แผน!HH20"")"),25837)</f>
        <v>25837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IFERROR(__xludf.DUMMYFUNCTION("IMPORTRANGE(""https://docs.google.com/spreadsheets/d/1QqKyyYR6Q21VydFLVH3TRQUabQu_ym0Zz7PgGX0-kHA/edit?usp=sharing"",""แผน!HG20"")"),4200)</f>
        <v>4200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 hidden="1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0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 hidden="1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IFERROR(__xludf.DUMMYFUNCTION("IMPORTRANGE(""https://docs.google.com/spreadsheets/d/1QqKyyYR6Q21VydFLVH3TRQUabQu_ym0Zz7PgGX0-kHA/edit?usp=sharing"",""แผน!HJ20"")"),0)</f>
        <v>0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 hidden="1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IFERROR(__xludf.DUMMYFUNCTION("IMPORTRANGE(""https://docs.google.com/spreadsheets/d/1QqKyyYR6Q21VydFLVH3TRQUabQu_ym0Zz7PgGX0-kHA/edit?usp=sharing"",""แผน!HI20"")"),0)</f>
        <v>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 hidden="1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 hidden="1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 hidden="1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 hidden="1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 hidden="1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 hidden="1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 hidden="1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 hidden="1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 hidden="1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 hidden="1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 hidden="1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 hidden="1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 hidden="1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 hidden="1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 hidden="1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 hidden="1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IFERROR(__xludf.DUMMYFUNCTION("IMPORTRANGE(""https://docs.google.com/spreadsheets/d/1QqKyyYR6Q21VydFLVH3TRQUabQu_ym0Zz7PgGX0-kHA/edit?usp=sharing"",""แผน!HL20"")"),0)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IFERROR(__xludf.DUMMYFUNCTION("IMPORTRANGE(""https://docs.google.com/spreadsheets/d/1QqKyyYR6Q21VydFLVH3TRQUabQu_ym0Zz7PgGX0-kHA/edit?usp=sharing"",""แผน!HK20"")"),0)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60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336260</v>
      </c>
      <c r="M629" s="195">
        <f t="shared" si="263"/>
        <v>0</v>
      </c>
      <c r="N629" s="195">
        <f t="shared" si="263"/>
        <v>53460</v>
      </c>
      <c r="O629" s="195">
        <f t="shared" ref="O629:O634" ca="1" si="264">IF(L629&gt;0,N629*100/L629,0)</f>
        <v>15.898411943139237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336260</v>
      </c>
      <c r="M631" s="93">
        <f t="shared" si="266"/>
        <v>0</v>
      </c>
      <c r="N631" s="93">
        <f t="shared" si="266"/>
        <v>53460</v>
      </c>
      <c r="O631" s="93">
        <f t="shared" ca="1" si="264"/>
        <v>15.898411943139237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336260</v>
      </c>
      <c r="M632" s="466">
        <f t="shared" si="267"/>
        <v>0</v>
      </c>
      <c r="N632" s="466">
        <f t="shared" si="267"/>
        <v>53460</v>
      </c>
      <c r="O632" s="466">
        <f t="shared" ca="1" si="264"/>
        <v>15.898411943139237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IFERROR(__xludf.DUMMYFUNCTION("IMPORTRANGE(""https://docs.google.com/spreadsheets/d/1QqKyyYR6Q21VydFLVH3TRQUabQu_ym0Zz7PgGX0-kHA/edit?usp=sharing"",""แผน!HN20"")"),336260)</f>
        <v>336260</v>
      </c>
      <c r="M634" s="93">
        <v>0</v>
      </c>
      <c r="N634" s="93">
        <f>N635+N636+N637+N638</f>
        <v>53460</v>
      </c>
      <c r="O634" s="93">
        <f t="shared" ca="1" si="264"/>
        <v>15.898411943139237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26000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27460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IFERROR(__xludf.DUMMYFUNCTION("IMPORTRANGE(""https://docs.google.com/spreadsheets/d/1XWAQStnk-4SwqDmLtmXYiTMKHgktTP8We1SCoS47DrQ/edit?usp=sharing"",""จัดที่ดิน!AS20"")"),75)</f>
        <v>75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IFERROR(__xludf.DUMMYFUNCTION("IMPORTRANGE(""https://docs.google.com/spreadsheets/d/1XWAQStnk-4SwqDmLtmXYiTMKHgktTP8We1SCoS47DrQ/edit?usp=sharing"",""จัดที่ดิน!AT20"")"),34.02)</f>
        <v>34.020000000000003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IFERROR(__xludf.DUMMYFUNCTION("IMPORTRANGE(""https://docs.google.com/spreadsheets/d/1QqKyyYR6Q21VydFLVH3TRQUabQu_ym0Zz7PgGX0-kHA/edit?usp=sharing"",""แผน!HS20"")"),60)</f>
        <v>60</v>
      </c>
      <c r="J647" s="270">
        <f ca="1">IFERROR(__xludf.DUMMYFUNCTION("IMPORTRANGE(""https://docs.google.com/spreadsheets/d/1XWAQStnk-4SwqDmLtmXYiTMKHgktTP8We1SCoS47DrQ/edit?usp=sharing"",""จัดที่ดิน!AU20"")"),0)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IFERROR(__xludf.DUMMYFUNCTION("IMPORTRANGE(""https://docs.google.com/spreadsheets/d/1XWAQStnk-4SwqDmLtmXYiTMKHgktTP8We1SCoS47DrQ/edit?usp=sharing"",""จัดที่ดิน!AV20"")"),0)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IFERROR(__xludf.DUMMYFUNCTION("IMPORTRANGE(""https://docs.google.com/spreadsheets/d/1QqKyyYR6Q21VydFLVH3TRQUabQu_ym0Zz7PgGX0-kHA/edit?usp=sharing"",""แผน!HS20"")"),60)</f>
        <v>60</v>
      </c>
      <c r="J649" s="270">
        <f ca="1">IFERROR(__xludf.DUMMYFUNCTION("IMPORTRANGE(""https://docs.google.com/spreadsheets/d/1XWAQStnk-4SwqDmLtmXYiTMKHgktTP8We1SCoS47DrQ/edit?usp=sharing"",""จัดที่ดิน!AW20"")"),0)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IFERROR(__xludf.DUMMYFUNCTION("IMPORTRANGE(""https://docs.google.com/spreadsheets/d/1XWAQStnk-4SwqDmLtmXYiTMKHgktTP8We1SCoS47DrQ/edit?usp=sharing"",""จัดที่ดิน!AX20"")"),0)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IFERROR(__xludf.DUMMYFUNCTION("IMPORTRANGE(""https://docs.google.com/spreadsheets/d/1QqKyyYR6Q21VydFLVH3TRQUabQu_ym0Zz7PgGX0-kHA/edit?usp=sharing"",""แผน!HS20"")"),60)</f>
        <v>60</v>
      </c>
      <c r="J651" s="270">
        <f ca="1">IFERROR(__xludf.DUMMYFUNCTION("IMPORTRANGE(""https://docs.google.com/spreadsheets/d/1XWAQStnk-4SwqDmLtmXYiTMKHgktTP8We1SCoS47DrQ/edit?usp=sharing"",""จัดที่ดิน!AY20"")"),0)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IFERROR(__xludf.DUMMYFUNCTION("IMPORTRANGE(""https://docs.google.com/spreadsheets/d/1XWAQStnk-4SwqDmLtmXYiTMKHgktTP8We1SCoS47DrQ/edit?usp=sharing"",""จัดที่ดิน!AZ20"")"),0)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50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1000</v>
      </c>
      <c r="O655" s="195">
        <f t="shared" ref="O655:O660" ca="1" si="274">IF(L655&gt;0,N655*100/L655,0)</f>
        <v>10.638297872340425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1000</v>
      </c>
      <c r="O657" s="93">
        <f t="shared" ca="1" si="274"/>
        <v>10.638297872340425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si="277"/>
        <v>0</v>
      </c>
      <c r="N658" s="466">
        <f t="shared" si="277"/>
        <v>1000</v>
      </c>
      <c r="O658" s="466">
        <f t="shared" ca="1" si="274"/>
        <v>10.638297872340425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IFERROR(__xludf.DUMMYFUNCTION("IMPORTRANGE(""https://docs.google.com/spreadsheets/d/1QqKyyYR6Q21VydFLVH3TRQUabQu_ym0Zz7PgGX0-kHA/edit?usp=sharing"",""แผน!HV20"")"),9400)</f>
        <v>9400</v>
      </c>
      <c r="M660" s="93">
        <v>0</v>
      </c>
      <c r="N660" s="93">
        <f>N661+N662+N663+N664</f>
        <v>1000</v>
      </c>
      <c r="O660" s="93">
        <f t="shared" ca="1" si="274"/>
        <v>10.638297872340425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1000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IFERROR(__xludf.DUMMYFUNCTION("IMPORTRANGE(""https://docs.google.com/spreadsheets/d/1QqKyyYR6Q21VydFLVH3TRQUabQu_ym0Zz7PgGX0-kHA/edit?usp=sharing"",""แผน!IA20"")"),50)</f>
        <v>50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IFERROR(__xludf.DUMMYFUNCTION("IMPORTRANGE(""https://docs.google.com/spreadsheets/d/1QqKyyYR6Q21VydFLVH3TRQUabQu_ym0Zz7PgGX0-kHA/edit?usp=sharing"",""แผน!HZ20"")"),4)</f>
        <v>4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IFERROR(__xludf.DUMMYFUNCTION("IMPORTRANGE(""https://docs.google.com/spreadsheets/d/1QqKyyYR6Q21VydFLVH3TRQUabQu_ym0Zz7PgGX0-kHA/edit?usp=sharing"",""แผน!HZ20"")"),4)</f>
        <v>4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IFERROR(__xludf.DUMMYFUNCTION("IMPORTRANGE(""https://docs.google.com/spreadsheets/d/1QqKyyYR6Q21VydFLVH3TRQUabQu_ym0Zz7PgGX0-kHA/edit?usp=sharing"",""แผน!IB20"")"),0)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13000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13000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13000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IFERROR(__xludf.DUMMYFUNCTION("IMPORTRANGE(""https://docs.google.com/spreadsheets/d/1QqKyyYR6Q21VydFLVH3TRQUabQu_ym0Zz7PgGX0-kHA/edit?usp=sharing"",""แผน!HW20"")"),13000)</f>
        <v>13000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IFERROR(__xludf.DUMMYFUNCTION("IMPORTRANGE(""https://docs.google.com/spreadsheets/d/1QqKyyYR6Q21VydFLVH3TRQUabQu_ym0Zz7PgGX0-kHA/edit?usp=sharing"",""แผน!IC20"")"),0)</f>
        <v>0</v>
      </c>
      <c r="J699" s="270">
        <f ca="1">IFERROR(__xludf.DUMMYFUNCTION("IMPORTRANGE(""https://docs.google.com/spreadsheets/d/1XWAQStnk-4SwqDmLtmXYiTMKHgktTP8We1SCoS47DrQ/edit?usp=sharing"",""จัดที่ดิน!BB20"")"),0)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IFERROR(__xludf.DUMMYFUNCTION("IMPORTRANGE(""https://docs.google.com/spreadsheets/d/1QqKyyYR6Q21VydFLVH3TRQUabQu_ym0Zz7PgGX0-kHA/edit?usp=sharing"",""แผน!ID20"")"),100)</f>
        <v>100</v>
      </c>
      <c r="J700" s="270">
        <f ca="1">IFERROR(__xludf.DUMMYFUNCTION("IMPORTRANGE(""https://docs.google.com/spreadsheets/d/1XWAQStnk-4SwqDmLtmXYiTMKHgktTP8We1SCoS47DrQ/edit?usp=sharing"",""จัดที่ดิน!BD20"")"),0)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IFERROR(__xludf.DUMMYFUNCTION("IMPORTRANGE(""https://docs.google.com/spreadsheets/d/1QqKyyYR6Q21VydFLVH3TRQUabQu_ym0Zz7PgGX0-kHA/edit?usp=sharing"",""แผน!IE20"")"),0)</f>
        <v>0</v>
      </c>
      <c r="J701" s="647">
        <f>J704+J707</f>
        <v>0</v>
      </c>
      <c r="K701" s="195">
        <f t="shared" ca="1" si="290"/>
        <v>0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IFERROR(__xludf.DUMMYFUNCTION("IMPORTRANGE(""https://docs.google.com/spreadsheets/d/1QqKyyYR6Q21VydFLVH3TRQUabQu_ym0Zz7PgGX0-kHA/edit?usp=sharing"",""แผน!IF20"")"),0)</f>
        <v>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0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0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IFERROR(__xludf.DUMMYFUNCTION("IMPORTRANGE(""https://docs.google.com/spreadsheets/d/1QqKyyYR6Q21VydFLVH3TRQUabQu_ym0Zz7PgGX0-kHA/edit?usp=sharing"",""แผน!IG20"")"),0)</f>
        <v>0</v>
      </c>
      <c r="J707" s="215">
        <v>0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IFERROR(__xludf.DUMMYFUNCTION("IMPORTRANGE(""https://docs.google.com/spreadsheets/d/1QqKyyYR6Q21VydFLVH3TRQUabQu_ym0Zz7PgGX0-kHA/edit?usp=sharing"",""แผน!IH20"")"),0)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IFERROR(__xludf.DUMMYFUNCTION("IMPORTRANGE(""https://docs.google.com/spreadsheets/d/1XWAQStnk-4SwqDmLtmXYiTMKHgktTP8We1SCoS47DrQ/edit?usp=sharing"",""จัดที่ดิน!BF20"")"),0)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IFERROR(__xludf.DUMMYFUNCTION("IMPORTRANGE(""https://docs.google.com/spreadsheets/d/1XWAQStnk-4SwqDmLtmXYiTMKHgktTP8We1SCoS47DrQ/edit?usp=sharing"",""จัดที่ดิน!BG20"")"),0)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IFERROR(__xludf.DUMMYFUNCTION("IMPORTRANGE(""https://docs.google.com/spreadsheets/d/1QqKyyYR6Q21VydFLVH3TRQUabQu_ym0Zz7PgGX0-kHA/edit?usp=sharing"",""แผน!II20"")"),0)</f>
        <v>0</v>
      </c>
      <c r="J720" s="270">
        <f ca="1">IFERROR(__xludf.DUMMYFUNCTION("IMPORTRANGE(""https://docs.google.com/spreadsheets/d/1XWAQStnk-4SwqDmLtmXYiTMKHgktTP8We1SCoS47DrQ/edit?usp=sharing"",""จัดที่ดิน!BH20"")"),0)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IFERROR(__xludf.DUMMYFUNCTION("IMPORTRANGE(""https://docs.google.com/spreadsheets/d/1QqKyyYR6Q21VydFLVH3TRQUabQu_ym0Zz7PgGX0-kHA/edit?usp=sharing"",""แผน!IJ20"")"),0)</f>
        <v>0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IFERROR(__xludf.DUMMYFUNCTION("IMPORTRANGE(""https://docs.google.com/spreadsheets/d/1QqKyyYR6Q21VydFLVH3TRQUabQu_ym0Zz7PgGX0-kHA/edit?usp=sharing"",""แผน!IK20"")"),0)</f>
        <v>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IFERROR(__xludf.DUMMYFUNCTION("IMPORTRANGE(""https://docs.google.com/spreadsheets/d/1QqKyyYR6Q21VydFLVH3TRQUabQu_ym0Zz7PgGX0-kHA/edit?usp=sharing"",""แผน!IL20"")"),0)</f>
        <v>0</v>
      </c>
      <c r="J723" s="270">
        <f ca="1">IFERROR(__xludf.DUMMYFUNCTION("IMPORTRANGE(""https://docs.google.com/spreadsheets/d/1XWAQStnk-4SwqDmLtmXYiTMKHgktTP8We1SCoS47DrQ/edit?usp=sharing"",""จัดที่ดิน!BM20"")"),0)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IFERROR(__xludf.DUMMYFUNCTION("IMPORTRANGE(""https://docs.google.com/spreadsheets/d/1XWAQStnk-4SwqDmLtmXYiTMKHgktTP8We1SCoS47DrQ/edit?usp=sharing"",""จัดที่ดิน!BN20"")"),0)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IFERROR(__xludf.DUMMYFUNCTION("IMPORTRANGE(""https://docs.google.com/spreadsheets/d/1QqKyyYR6Q21VydFLVH3TRQUabQu_ym0Zz7PgGX0-kHA/edit?usp=sharing"",""แผน!IM20"")"),0)</f>
        <v>0</v>
      </c>
      <c r="J725" s="270">
        <f ca="1">IFERROR(__xludf.DUMMYFUNCTION("IMPORTRANGE(""https://docs.google.com/spreadsheets/d/1XWAQStnk-4SwqDmLtmXYiTMKHgktTP8We1SCoS47DrQ/edit?usp=sharing"",""จัดที่ดิน!BO20"")"),0)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IFERROR(__xludf.DUMMYFUNCTION("IMPORTRANGE(""https://docs.google.com/spreadsheets/d/1QqKyyYR6Q21VydFLVH3TRQUabQu_ym0Zz7PgGX0-kHA/edit?usp=sharing"",""แผน!IN20"")"),0)</f>
        <v>0</v>
      </c>
      <c r="J726" s="270">
        <f ca="1">IFERROR(__xludf.DUMMYFUNCTION("IMPORTRANGE(""https://docs.google.com/spreadsheets/d/1XWAQStnk-4SwqDmLtmXYiTMKHgktTP8We1SCoS47DrQ/edit?usp=sharing"",""จัดที่ดิน!BR20"")"),0)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IFERROR(__xludf.DUMMYFUNCTION("IMPORTRANGE(""https://docs.google.com/spreadsheets/d/1XWAQStnk-4SwqDmLtmXYiTMKHgktTP8We1SCoS47DrQ/edit?usp=sharing"",""จัดที่ดิน!BS20"")"),0)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IFERROR(__xludf.DUMMYFUNCTION("IMPORTRANGE(""https://docs.google.com/spreadsheets/d/1QqKyyYR6Q21VydFLVH3TRQUabQu_ym0Zz7PgGX0-kHA/edit?usp=sharing"",""แผน!IO20"")"),0)</f>
        <v>0</v>
      </c>
      <c r="J728" s="270">
        <f ca="1">IFERROR(__xludf.DUMMYFUNCTION("IMPORTRANGE(""https://docs.google.com/spreadsheets/d/1XWAQStnk-4SwqDmLtmXYiTMKHgktTP8We1SCoS47DrQ/edit?usp=sharing"",""จัดที่ดิน!BT20"")"),0)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IFERROR(__xludf.DUMMYFUNCTION("IMPORTRANGE(""https://docs.google.com/spreadsheets/d/1QqKyyYR6Q21VydFLVH3TRQUabQu_ym0Zz7PgGX0-kHA/edit?usp=sharing"",""แผน!IP20"")"),0)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84">
        <f t="shared" ref="I785:J785" ca="1" si="318">I800</f>
        <v>0</v>
      </c>
      <c r="J785" s="771">
        <f t="shared" ca="1" si="318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27"/>
      <c r="F789" s="727"/>
      <c r="G789" s="189"/>
      <c r="H789" s="776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27"/>
      <c r="D792" s="727"/>
      <c r="E792" s="727"/>
      <c r="F792" s="727" t="s">
        <v>186</v>
      </c>
      <c r="G792" s="189"/>
      <c r="H792" s="776" t="s">
        <v>12</v>
      </c>
      <c r="I792" s="270"/>
      <c r="J792" s="270"/>
      <c r="K792" s="466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27"/>
      <c r="D793" s="727"/>
      <c r="E793" s="727"/>
      <c r="F793" s="727" t="s">
        <v>187</v>
      </c>
      <c r="G793" s="189"/>
      <c r="H793" s="776" t="s">
        <v>12</v>
      </c>
      <c r="I793" s="270"/>
      <c r="J793" s="270"/>
      <c r="K793" s="466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27"/>
      <c r="D794" s="727"/>
      <c r="E794" s="727"/>
      <c r="F794" s="727" t="s">
        <v>188</v>
      </c>
      <c r="G794" s="189"/>
      <c r="H794" s="776" t="s">
        <v>12</v>
      </c>
      <c r="I794" s="270"/>
      <c r="J794" s="270"/>
      <c r="K794" s="466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27"/>
      <c r="D795" s="727"/>
      <c r="E795" s="727"/>
      <c r="F795" s="727" t="s">
        <v>189</v>
      </c>
      <c r="G795" s="189"/>
      <c r="H795" s="776" t="s">
        <v>12</v>
      </c>
      <c r="I795" s="270"/>
      <c r="J795" s="270"/>
      <c r="K795" s="466"/>
      <c r="L795" s="466"/>
      <c r="M795" s="466"/>
      <c r="N795" s="798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27"/>
      <c r="D796" s="571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774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6"/>
      <c r="H800" s="775" t="s">
        <v>46</v>
      </c>
      <c r="I800" s="184">
        <f ca="1">IFERROR(__xludf.DUMMYFUNCTION("IMPORTRANGE(""https://docs.google.com/spreadsheets/d/1QqKyyYR6Q21VydFLVH3TRQUabQu_ym0Zz7PgGX0-kHA/edit?usp=sharing"",""แผน!JN20"")"),0)</f>
        <v>0</v>
      </c>
      <c r="J800" s="184">
        <f ca="1">IFERROR(__xludf.DUMMYFUNCTION("IMPORTRANGE(""https://docs.google.com/spreadsheets/d/1MaWodYyGHDf7siQLGxnXhG4mBNTNIuy296niS2xXulU/edit?usp=sharing"",""RTK!H20"")"),0)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6"/>
      <c r="H801" s="776" t="s">
        <v>34</v>
      </c>
      <c r="I801" s="184"/>
      <c r="J801" s="270">
        <f ca="1">IFERROR(__xludf.DUMMYFUNCTION("IMPORTRANGE(""https://docs.google.com/spreadsheets/d/1MaWodYyGHDf7siQLGxnXhG4mBNTNIuy296niS2xXulU/edit?usp=sharing"",""RTK!I20"")"),0)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4"/>
      <c r="F802" s="684" t="s">
        <v>321</v>
      </c>
      <c r="G802" s="582"/>
      <c r="H802" s="619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4"/>
      <c r="F803" s="684"/>
      <c r="G803" s="582"/>
      <c r="H803" s="619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7">L806+L807</f>
        <v>0</v>
      </c>
      <c r="M805" s="613">
        <f t="shared" si="327"/>
        <v>0</v>
      </c>
      <c r="N805" s="613">
        <f t="shared" si="327"/>
        <v>0</v>
      </c>
      <c r="O805" s="613">
        <f t="shared" ref="O805:O810" si="328">IF(L805&gt;0,N805*100/L805,0)</f>
        <v>0</v>
      </c>
      <c r="P805" s="613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1">L809+L810</f>
        <v>0</v>
      </c>
      <c r="M808" s="613">
        <f t="shared" si="331"/>
        <v>0</v>
      </c>
      <c r="N808" s="613">
        <f t="shared" si="331"/>
        <v>0</v>
      </c>
      <c r="O808" s="613">
        <f t="shared" si="328"/>
        <v>0</v>
      </c>
      <c r="P808" s="613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2">L816+L817</f>
        <v>0</v>
      </c>
      <c r="M815" s="613">
        <f t="shared" si="332"/>
        <v>0</v>
      </c>
      <c r="N815" s="613">
        <f t="shared" si="332"/>
        <v>0</v>
      </c>
      <c r="O815" s="613">
        <f t="shared" ref="O815:O817" si="333">IF(L815&gt;0,N815*100/L815,0)</f>
        <v>0</v>
      </c>
      <c r="P815" s="613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270">
        <f ca="1">IFERROR(__xludf.DUMMYFUNCTION("IMPORTRANGE(""https://docs.google.com/spreadsheets/d/19vJNZY_5yjcGF2XGBMNZRCAIB0Kwfpjp8YEOfu-bneM/edit?usp=sharing"",""งานกองทุน!F20"")"),683436.89)</f>
        <v>683436.89</v>
      </c>
      <c r="K821" s="466">
        <f t="shared" ref="K821:K828" ca="1" si="335">IF(I821&gt;0,J821*100/I821,0)</f>
        <v>16.076550065615436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IFERROR(__xludf.DUMMYFUNCTION("IMPORTRANGE(""https://docs.google.com/spreadsheets/d/19vJNZY_5yjcGF2XGBMNZRCAIB0Kwfpjp8YEOfu-bneM/edit?usp=sharing"",""งานกองทุน!C20"")"),408)</f>
        <v>408</v>
      </c>
      <c r="J822" s="270">
        <f ca="1">IFERROR(__xludf.DUMMYFUNCTION("IMPORTRANGE(""https://docs.google.com/spreadsheets/d/19vJNZY_5yjcGF2XGBMNZRCAIB0Kwfpjp8YEOfu-bneM/edit?usp=sharing"",""งานกองทุน!E20"")"),58)</f>
        <v>58</v>
      </c>
      <c r="K822" s="466">
        <f t="shared" ca="1" si="335"/>
        <v>14.215686274509803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270">
        <f ca="1">IFERROR(__xludf.DUMMYFUNCTION("IMPORTRANGE(""https://docs.google.com/spreadsheets/d/19vJNZY_5yjcGF2XGBMNZRCAIB0Kwfpjp8YEOfu-bneM/edit?usp=sharing"",""งานกองทุน!K20"")"),209947.14)</f>
        <v>209947.14</v>
      </c>
      <c r="K823" s="466">
        <f t="shared" ca="1" si="335"/>
        <v>0.85042988574809175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IFERROR(__xludf.DUMMYFUNCTION("IMPORTRANGE(""https://docs.google.com/spreadsheets/d/19vJNZY_5yjcGF2XGBMNZRCAIB0Kwfpjp8YEOfu-bneM/edit?usp=sharing"",""งานกองทุน!H20"")"),411)</f>
        <v>411</v>
      </c>
      <c r="J824" s="270">
        <f ca="1">IFERROR(__xludf.DUMMYFUNCTION("IMPORTRANGE(""https://docs.google.com/spreadsheets/d/19vJNZY_5yjcGF2XGBMNZRCAIB0Kwfpjp8YEOfu-bneM/edit?usp=sharing"",""งานกองทุน!J20"")"),53)</f>
        <v>53</v>
      </c>
      <c r="K824" s="466">
        <f t="shared" ca="1" si="335"/>
        <v>12.895377128953772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IFERROR(__xludf.DUMMYFUNCTION("IMPORTRANGE(""https://docs.google.com/spreadsheets/d/19vJNZY_5yjcGF2XGBMNZRCAIB0Kwfpjp8YEOfu-bneM/edit?usp=sharing"",""งานกองทุน!N20"")"),64494.86)</f>
        <v>64494.86</v>
      </c>
      <c r="J825" s="270">
        <f ca="1">IFERROR(__xludf.DUMMYFUNCTION("IMPORTRANGE(""https://docs.google.com/spreadsheets/d/19vJNZY_5yjcGF2XGBMNZRCAIB0Kwfpjp8YEOfu-bneM/edit?usp=sharing"",""งานกองทุน!P20"")"),0)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IFERROR(__xludf.DUMMYFUNCTION("IMPORTRANGE(""https://docs.google.com/spreadsheets/d/19vJNZY_5yjcGF2XGBMNZRCAIB0Kwfpjp8YEOfu-bneM/edit?usp=sharing"",""งานกองทุน!M20"")"),107)</f>
        <v>107</v>
      </c>
      <c r="J826" s="270">
        <f ca="1">IFERROR(__xludf.DUMMYFUNCTION("IMPORTRANGE(""https://docs.google.com/spreadsheets/d/19vJNZY_5yjcGF2XGBMNZRCAIB0Kwfpjp8YEOfu-bneM/edit?usp=sharing"",""งานกองทุน!O20"")"),0)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IFERROR(__xludf.DUMMYFUNCTION("IMPORTRANGE(""https://docs.google.com/spreadsheets/d/19vJNZY_5yjcGF2XGBMNZRCAIB0Kwfpjp8YEOfu-bneM/edit?usp=sharing"",""งานกองทุน!S20"")"),5530000)</f>
        <v>5530000</v>
      </c>
      <c r="J827" s="270">
        <f ca="1">IFERROR(__xludf.DUMMYFUNCTION("IMPORTRANGE(""https://docs.google.com/spreadsheets/d/19vJNZY_5yjcGF2XGBMNZRCAIB0Kwfpjp8YEOfu-bneM/edit?usp=sharing"",""งานกองทุน!U20"")"),0)</f>
        <v>0</v>
      </c>
      <c r="K827" s="466">
        <f t="shared" ca="1" si="335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IFERROR(__xludf.DUMMYFUNCTION("IMPORTRANGE(""https://docs.google.com/spreadsheets/d/19vJNZY_5yjcGF2XGBMNZRCAIB0Kwfpjp8YEOfu-bneM/edit?usp=sharing"",""งานกองทุน!R20"")"),221)</f>
        <v>221</v>
      </c>
      <c r="J828" s="469">
        <f ca="1">IFERROR(__xludf.DUMMYFUNCTION("IMPORTRANGE(""https://docs.google.com/spreadsheets/d/19vJNZY_5yjcGF2XGBMNZRCAIB0Kwfpjp8YEOfu-bneM/edit?usp=sharing"",""งานกองทุน!T20"")"),0)</f>
        <v>0</v>
      </c>
      <c r="K828" s="470">
        <f t="shared" ca="1" si="335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25B96-EB88-4EFE-9EB6-C3AFE3662BC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1" customWidth="1"/>
    <col min="4" max="6" width="5.85546875" style="801" customWidth="1"/>
    <col min="7" max="7" width="56.42578125" style="801" customWidth="1"/>
    <col min="8" max="8" width="9.42578125" style="801" customWidth="1"/>
    <col min="9" max="10" width="16.85546875" style="801" bestFit="1" customWidth="1"/>
    <col min="11" max="11" width="12.5703125" style="801" customWidth="1"/>
    <col min="12" max="14" width="21.28515625" style="801" bestFit="1" customWidth="1"/>
    <col min="15" max="16" width="17.5703125" style="801" customWidth="1"/>
    <col min="17" max="16384" width="12.5703125" style="801"/>
  </cols>
  <sheetData>
    <row r="1" spans="1:26" ht="19.5">
      <c r="A1" s="817" t="s">
        <v>0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</row>
    <row r="2" spans="1:26" ht="19.5">
      <c r="A2" s="817" t="s">
        <v>343</v>
      </c>
      <c r="B2" s="818"/>
      <c r="C2" s="818"/>
      <c r="D2" s="818"/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8"/>
    </row>
    <row r="3" spans="1:26" ht="19.5">
      <c r="A3" s="817" t="s">
        <v>355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3" t="s">
        <v>2</v>
      </c>
      <c r="B5" s="818"/>
      <c r="C5" s="818"/>
      <c r="D5" s="818"/>
      <c r="E5" s="818"/>
      <c r="F5" s="818"/>
      <c r="G5" s="824"/>
      <c r="H5" s="819" t="s">
        <v>3</v>
      </c>
      <c r="I5" s="820" t="s">
        <v>4</v>
      </c>
      <c r="J5" s="813"/>
      <c r="K5" s="814"/>
      <c r="L5" s="821" t="s">
        <v>5</v>
      </c>
      <c r="M5" s="814"/>
      <c r="N5" s="822" t="s">
        <v>6</v>
      </c>
      <c r="O5" s="813"/>
      <c r="P5" s="814"/>
    </row>
    <row r="6" spans="1:26" ht="19.5">
      <c r="A6" s="825"/>
      <c r="B6" s="813"/>
      <c r="C6" s="813"/>
      <c r="D6" s="813"/>
      <c r="E6" s="813"/>
      <c r="F6" s="813"/>
      <c r="G6" s="814"/>
      <c r="H6" s="81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2" t="s">
        <v>15</v>
      </c>
      <c r="B7" s="813"/>
      <c r="C7" s="813"/>
      <c r="D7" s="813"/>
      <c r="E7" s="813"/>
      <c r="F7" s="813"/>
      <c r="G7" s="81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4517229</v>
      </c>
      <c r="M8" s="22">
        <f t="shared" ca="1" si="0"/>
        <v>1603955</v>
      </c>
      <c r="N8" s="22">
        <f t="shared" ca="1" si="0"/>
        <v>1130928.9300000002</v>
      </c>
      <c r="O8" s="22">
        <f t="shared" ref="O8:O16" ca="1" si="1">IF(L8&gt;0,N8*100/L8,0)</f>
        <v>25.035899884641672</v>
      </c>
      <c r="P8" s="22">
        <f t="shared" ref="P8:P16" ca="1" si="2">IF(M8&gt;0,N8*100/M8,0)</f>
        <v>70.508769260983016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4517229</v>
      </c>
      <c r="M10" s="30">
        <f t="shared" ca="1" si="3"/>
        <v>1603955</v>
      </c>
      <c r="N10" s="30">
        <f t="shared" ca="1" si="3"/>
        <v>1130928.9300000002</v>
      </c>
      <c r="O10" s="30">
        <f t="shared" ca="1" si="1"/>
        <v>25.035899884641672</v>
      </c>
      <c r="P10" s="30">
        <f t="shared" ca="1" si="2"/>
        <v>70.508769260983016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4411629</v>
      </c>
      <c r="M11" s="466">
        <f t="shared" ca="1" si="4"/>
        <v>1498355</v>
      </c>
      <c r="N11" s="466">
        <f t="shared" ca="1" si="4"/>
        <v>1025328.93</v>
      </c>
      <c r="O11" s="466">
        <f t="shared" ca="1" si="1"/>
        <v>23.241503988662693</v>
      </c>
      <c r="P11" s="466">
        <f t="shared" ca="1" si="2"/>
        <v>68.430307236936514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4411629</v>
      </c>
      <c r="M13" s="93">
        <f t="shared" ca="1" si="5"/>
        <v>1498355</v>
      </c>
      <c r="N13" s="93">
        <f t="shared" ca="1" si="5"/>
        <v>1025328.93</v>
      </c>
      <c r="O13" s="93">
        <f t="shared" ca="1" si="1"/>
        <v>23.241503988662693</v>
      </c>
      <c r="P13" s="93">
        <f t="shared" ca="1" si="2"/>
        <v>68.430307236936514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105600</v>
      </c>
      <c r="M14" s="466">
        <f t="shared" ca="1" si="6"/>
        <v>105600</v>
      </c>
      <c r="N14" s="466">
        <f t="shared" ca="1" si="6"/>
        <v>105600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105600</v>
      </c>
      <c r="M16" s="52">
        <f t="shared" ca="1" si="7"/>
        <v>105600</v>
      </c>
      <c r="N16" s="52">
        <f t="shared" ca="1" si="7"/>
        <v>105600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2" t="s">
        <v>22</v>
      </c>
      <c r="B17" s="813"/>
      <c r="C17" s="813"/>
      <c r="D17" s="813"/>
      <c r="E17" s="813"/>
      <c r="F17" s="813"/>
      <c r="G17" s="81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2944145</v>
      </c>
      <c r="M18" s="22">
        <f t="shared" ca="1" si="8"/>
        <v>1603955</v>
      </c>
      <c r="N18" s="22">
        <f t="shared" ca="1" si="8"/>
        <v>1001043.91</v>
      </c>
      <c r="O18" s="22">
        <f t="shared" ref="O18:O26" ca="1" si="9">IF(L18&gt;0,N18*100/L18,0)</f>
        <v>34.001175553513839</v>
      </c>
      <c r="P18" s="22">
        <f t="shared" ref="P18:P26" ca="1" si="10">IF(M18&gt;0,N18*100/M18,0)</f>
        <v>62.41097225296221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2944145</v>
      </c>
      <c r="M20" s="30">
        <f t="shared" ca="1" si="11"/>
        <v>1603955</v>
      </c>
      <c r="N20" s="30">
        <f t="shared" ca="1" si="11"/>
        <v>1001043.91</v>
      </c>
      <c r="O20" s="30">
        <f t="shared" ca="1" si="9"/>
        <v>34.001175553513839</v>
      </c>
      <c r="P20" s="30">
        <f t="shared" ca="1" si="10"/>
        <v>62.41097225296221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2838545</v>
      </c>
      <c r="M21" s="466">
        <f t="shared" ca="1" si="12"/>
        <v>1498355</v>
      </c>
      <c r="N21" s="466">
        <f t="shared" ca="1" si="12"/>
        <v>895443.91</v>
      </c>
      <c r="O21" s="466">
        <f t="shared" ca="1" si="9"/>
        <v>31.545876848878564</v>
      </c>
      <c r="P21" s="466">
        <f t="shared" ca="1" si="10"/>
        <v>59.761799440052592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2838545</v>
      </c>
      <c r="M23" s="93">
        <f t="shared" ca="1" si="13"/>
        <v>1498355</v>
      </c>
      <c r="N23" s="93">
        <f t="shared" ca="1" si="13"/>
        <v>895443.91</v>
      </c>
      <c r="O23" s="93">
        <f t="shared" ca="1" si="9"/>
        <v>31.545876848878564</v>
      </c>
      <c r="P23" s="93">
        <f t="shared" ca="1" si="10"/>
        <v>59.761799440052592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105600</v>
      </c>
      <c r="M24" s="466">
        <f t="shared" ca="1" si="14"/>
        <v>105600</v>
      </c>
      <c r="N24" s="466">
        <f t="shared" ca="1" si="14"/>
        <v>105600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105600</v>
      </c>
      <c r="M26" s="52">
        <f t="shared" ca="1" si="15"/>
        <v>105600</v>
      </c>
      <c r="N26" s="52">
        <f t="shared" ca="1" si="15"/>
        <v>105600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2" t="s">
        <v>23</v>
      </c>
      <c r="B27" s="813"/>
      <c r="C27" s="813"/>
      <c r="D27" s="813"/>
      <c r="E27" s="813"/>
      <c r="F27" s="813"/>
      <c r="G27" s="81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1573084</v>
      </c>
      <c r="M28" s="22">
        <f t="shared" si="16"/>
        <v>0</v>
      </c>
      <c r="N28" s="22">
        <f t="shared" si="16"/>
        <v>129885.02</v>
      </c>
      <c r="O28" s="22">
        <f t="shared" ref="O28:O37" ca="1" si="17">IF(L28&gt;0,N28*100/L28,0)</f>
        <v>8.256712292541275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1573084</v>
      </c>
      <c r="M30" s="30">
        <f t="shared" si="19"/>
        <v>0</v>
      </c>
      <c r="N30" s="30">
        <f t="shared" si="19"/>
        <v>129885.02</v>
      </c>
      <c r="O30" s="30">
        <f t="shared" ca="1" si="17"/>
        <v>8.256712292541275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1573084</v>
      </c>
      <c r="M31" s="466">
        <f t="shared" si="20"/>
        <v>0</v>
      </c>
      <c r="N31" s="466">
        <f t="shared" si="20"/>
        <v>129885.02</v>
      </c>
      <c r="O31" s="466">
        <f t="shared" ca="1" si="17"/>
        <v>8.256712292541275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1573084</v>
      </c>
      <c r="M33" s="93">
        <f t="shared" si="21"/>
        <v>0</v>
      </c>
      <c r="N33" s="93">
        <f t="shared" si="21"/>
        <v>129885.02</v>
      </c>
      <c r="O33" s="93">
        <f t="shared" ca="1" si="17"/>
        <v>8.256712292541275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6" t="s">
        <v>24</v>
      </c>
      <c r="B37" s="827"/>
      <c r="C37" s="827"/>
      <c r="D37" s="827"/>
      <c r="E37" s="827"/>
      <c r="F37" s="827"/>
      <c r="G37" s="828"/>
      <c r="H37" s="829"/>
      <c r="I37" s="830"/>
      <c r="J37" s="830"/>
      <c r="K37" s="831"/>
      <c r="L37" s="832">
        <f t="shared" ref="L37:N37" ca="1" si="24">L41+L53+L66+L88+L119+L132+L149+L165+L181+L261+L277+L298+L315+L328+L345+L389+L402</f>
        <v>2944145</v>
      </c>
      <c r="M37" s="832">
        <f t="shared" ca="1" si="24"/>
        <v>1603955</v>
      </c>
      <c r="N37" s="832">
        <f t="shared" ca="1" si="24"/>
        <v>1001043.91</v>
      </c>
      <c r="O37" s="832">
        <f t="shared" ca="1" si="17"/>
        <v>34.001175553513839</v>
      </c>
      <c r="P37" s="832">
        <f t="shared" ca="1" si="18"/>
        <v>62.41097225296221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5" t="s">
        <v>27</v>
      </c>
      <c r="C40" s="804"/>
      <c r="D40" s="804"/>
      <c r="E40" s="804"/>
      <c r="F40" s="804"/>
      <c r="G40" s="81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564750</v>
      </c>
      <c r="M41" s="85">
        <f t="shared" ca="1" si="25"/>
        <v>291150</v>
      </c>
      <c r="N41" s="85">
        <f t="shared" ca="1" si="25"/>
        <v>189706.77</v>
      </c>
      <c r="O41" s="85">
        <f t="shared" ref="O41:O49" ca="1" si="26">IF(L41&gt;0,N41*100/L41,0)</f>
        <v>33.591282868525894</v>
      </c>
      <c r="P41" s="85">
        <f t="shared" ref="P41:P49" ca="1" si="27">IF(M41&gt;0,N41*100/M41,0)</f>
        <v>65.157743431221022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564750</v>
      </c>
      <c r="M43" s="92">
        <f t="shared" ca="1" si="28"/>
        <v>291150</v>
      </c>
      <c r="N43" s="92">
        <f t="shared" ca="1" si="28"/>
        <v>189706.77</v>
      </c>
      <c r="O43" s="92">
        <f t="shared" ca="1" si="26"/>
        <v>33.591282868525894</v>
      </c>
      <c r="P43" s="92">
        <f t="shared" ca="1" si="27"/>
        <v>65.157743431221022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564750</v>
      </c>
      <c r="M44" s="466">
        <f t="shared" ca="1" si="29"/>
        <v>291150</v>
      </c>
      <c r="N44" s="466">
        <f t="shared" ca="1" si="29"/>
        <v>189706.77</v>
      </c>
      <c r="O44" s="466">
        <f t="shared" ca="1" si="26"/>
        <v>33.591282868525894</v>
      </c>
      <c r="P44" s="466">
        <f t="shared" ca="1" si="27"/>
        <v>65.157743431221022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IFERROR(__xludf.DUMMYFUNCTION("IMPORTRANGE(""https://docs.google.com/spreadsheets/d/1MeEWN-I1oV_STSDYn1IFDPWt_1FKiwhDph83XaGc0o0/edit?usp=sharing"",""งบพรบ!M21"")"),564750)</f>
        <v>564750</v>
      </c>
      <c r="M46" s="93">
        <f ca="1">IFERROR(__xludf.DUMMYFUNCTION("IMPORTRANGE(""https://docs.google.com/spreadsheets/d/1MeEWN-I1oV_STSDYn1IFDPWt_1FKiwhDph83XaGc0o0/edit?usp=sharing"",""งบพรบ!R21"")"),291150)</f>
        <v>291150</v>
      </c>
      <c r="N46" s="93">
        <f ca="1">IFERROR(__xludf.DUMMYFUNCTION("IMPORTRANGE(""https://docs.google.com/spreadsheets/d/1MeEWN-I1oV_STSDYn1IFDPWt_1FKiwhDph83XaGc0o0/edit?usp=sharing"",""งบพรบ!T21"")"),189706.77)</f>
        <v>189706.77</v>
      </c>
      <c r="O46" s="93">
        <f t="shared" ca="1" si="26"/>
        <v>33.591282868525894</v>
      </c>
      <c r="P46" s="93">
        <f t="shared" ca="1" si="27"/>
        <v>65.157743431221022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IFERROR(__xludf.DUMMYFUNCTION("IMPORTRANGE(""https://docs.google.com/spreadsheets/d/1MeEWN-I1oV_STSDYn1IFDPWt_1FKiwhDph83XaGc0o0/edit?usp=sharing"",""งบพรบ!P21"")"),0)</f>
        <v>0</v>
      </c>
      <c r="M49" s="52">
        <f ca="1">IFERROR(__xludf.DUMMYFUNCTION("IMPORTRANGE(""https://docs.google.com/spreadsheets/d/1MeEWN-I1oV_STSDYn1IFDPWt_1FKiwhDph83XaGc0o0/edit?usp=sharing"",""งบพรบ!S21"")"),0)</f>
        <v>0</v>
      </c>
      <c r="N49" s="52">
        <f ca="1">IFERROR(__xludf.DUMMYFUNCTION("IMPORTRANGE(""https://docs.google.com/spreadsheets/d/1MeEWN-I1oV_STSDYn1IFDPWt_1FKiwhDph83XaGc0o0/edit?usp=sharing"",""งบพรบ!U21"")"),0)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6" t="s">
        <v>28</v>
      </c>
      <c r="B50" s="813"/>
      <c r="C50" s="813"/>
      <c r="D50" s="813"/>
      <c r="E50" s="813"/>
      <c r="F50" s="813"/>
      <c r="G50" s="81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9" t="s">
        <v>29</v>
      </c>
      <c r="C51" s="804"/>
      <c r="D51" s="804"/>
      <c r="E51" s="804"/>
      <c r="F51" s="804"/>
      <c r="G51" s="81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660900</v>
      </c>
      <c r="M53" s="116">
        <f t="shared" ca="1" si="31"/>
        <v>330450</v>
      </c>
      <c r="N53" s="116">
        <f t="shared" ca="1" si="31"/>
        <v>283091.86</v>
      </c>
      <c r="O53" s="116">
        <f t="shared" ref="O53:O61" ca="1" si="32">IF(L53&gt;0,N53*100/L53,0)</f>
        <v>42.834295657436826</v>
      </c>
      <c r="P53" s="116">
        <f t="shared" ref="P53:P61" ca="1" si="33">IF(M53&gt;0,N53*100/M53,0)</f>
        <v>85.668591314873652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660900</v>
      </c>
      <c r="M55" s="123">
        <f t="shared" ca="1" si="34"/>
        <v>330450</v>
      </c>
      <c r="N55" s="123">
        <f t="shared" ca="1" si="34"/>
        <v>283091.86</v>
      </c>
      <c r="O55" s="123">
        <f t="shared" ca="1" si="32"/>
        <v>42.834295657436826</v>
      </c>
      <c r="P55" s="123">
        <f t="shared" ca="1" si="33"/>
        <v>85.668591314873652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660900</v>
      </c>
      <c r="M56" s="466">
        <f t="shared" ca="1" si="35"/>
        <v>330450</v>
      </c>
      <c r="N56" s="466">
        <f t="shared" ca="1" si="35"/>
        <v>283091.86</v>
      </c>
      <c r="O56" s="466">
        <f t="shared" ca="1" si="32"/>
        <v>42.834295657436826</v>
      </c>
      <c r="P56" s="466">
        <f t="shared" ca="1" si="33"/>
        <v>85.668591314873652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IFERROR(__xludf.DUMMYFUNCTION("IMPORTRANGE(""https://docs.google.com/spreadsheets/d/1MeEWN-I1oV_STSDYn1IFDPWt_1FKiwhDph83XaGc0o0/edit?usp=sharing"",""งบพรบ!W21"")"),660900)</f>
        <v>660900</v>
      </c>
      <c r="M58" s="93">
        <f ca="1">IFERROR(__xludf.DUMMYFUNCTION("IMPORTRANGE(""https://docs.google.com/spreadsheets/d/1MeEWN-I1oV_STSDYn1IFDPWt_1FKiwhDph83XaGc0o0/edit?usp=sharing"",""งบพรบ!AB21"")"),330450)</f>
        <v>330450</v>
      </c>
      <c r="N58" s="93">
        <f ca="1">IFERROR(__xludf.DUMMYFUNCTION("IMPORTRANGE(""https://docs.google.com/spreadsheets/d/1MeEWN-I1oV_STSDYn1IFDPWt_1FKiwhDph83XaGc0o0/edit?usp=sharing"",""งบพรบ!AD21"")"),283091.86)</f>
        <v>283091.86</v>
      </c>
      <c r="O58" s="93">
        <f t="shared" ca="1" si="32"/>
        <v>42.834295657436826</v>
      </c>
      <c r="P58" s="93">
        <f t="shared" ca="1" si="33"/>
        <v>85.668591314873652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IFERROR(__xludf.DUMMYFUNCTION("IMPORTRANGE(""https://docs.google.com/spreadsheets/d/1MeEWN-I1oV_STSDYn1IFDPWt_1FKiwhDph83XaGc0o0/edit?usp=sharing"",""งบพรบ!Z21"")"),0)</f>
        <v>0</v>
      </c>
      <c r="M61" s="52">
        <f ca="1">IFERROR(__xludf.DUMMYFUNCTION("IMPORTRANGE(""https://docs.google.com/spreadsheets/d/1MeEWN-I1oV_STSDYn1IFDPWt_1FKiwhDph83XaGc0o0/edit?usp=sharing"",""งบพรบ!AC21"")"),0)</f>
        <v>0</v>
      </c>
      <c r="N61" s="52">
        <f ca="1">IFERROR(__xludf.DUMMYFUNCTION("IMPORTRANGE(""https://docs.google.com/spreadsheets/d/1MeEWN-I1oV_STSDYn1IFDPWt_1FKiwhDph83XaGc0o0/edit?usp=sharing"",""งบพรบ!AE21"")"),0)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6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IFERROR(__xludf.DUMMYFUNCTION("IMPORTRANGE(""https://docs.google.com/spreadsheets/d/1MeEWN-I1oV_STSDYn1IFDPWt_1FKiwhDph83XaGc0o0/edit?usp=sharing"",""งบพรบ!AG21"")"),0)</f>
        <v>0</v>
      </c>
      <c r="M71" s="93">
        <f ca="1">IFERROR(__xludf.DUMMYFUNCTION("IMPORTRANGE(""https://docs.google.com/spreadsheets/d/1MeEWN-I1oV_STSDYn1IFDPWt_1FKiwhDph83XaGc0o0/edit?usp=sharing"",""งบพรบ!AL21"")"),0)</f>
        <v>0</v>
      </c>
      <c r="N71" s="93">
        <f ca="1">IFERROR(__xludf.DUMMYFUNCTION("IMPORTRANGE(""https://docs.google.com/spreadsheets/d/1MeEWN-I1oV_STSDYn1IFDPWt_1FKiwhDph83XaGc0o0/edit?usp=sharing"",""งบพรบ!AN21"")"),0)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IFERROR(__xludf.DUMMYFUNCTION("IMPORTRANGE(""https://docs.google.com/spreadsheets/d/1MeEWN-I1oV_STSDYn1IFDPWt_1FKiwhDph83XaGc0o0/edit?usp=sharing"",""งบพรบ!AJ21"")"),0)</f>
        <v>0</v>
      </c>
      <c r="M74" s="93">
        <f ca="1">IFERROR(__xludf.DUMMYFUNCTION("IMPORTRANGE(""https://docs.google.com/spreadsheets/d/1MeEWN-I1oV_STSDYn1IFDPWt_1FKiwhDph83XaGc0o0/edit?usp=sharing"",""งบพรบ!AM21"")"),0)</f>
        <v>0</v>
      </c>
      <c r="N74" s="93">
        <f ca="1">IFERROR(__xludf.DUMMYFUNCTION("IMPORTRANGE(""https://docs.google.com/spreadsheets/d/1MeEWN-I1oV_STSDYn1IFDPWt_1FKiwhDph83XaGc0o0/edit?usp=sharing"",""งบพรบ!AO21"")"),0)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6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5" t="s">
        <v>34</v>
      </c>
      <c r="I84" s="184">
        <f ca="1">IFERROR(__xludf.DUMMYFUNCTION("IMPORTRANGE(""https://docs.google.com/spreadsheets/d/1QqKyyYR6Q21VydFLVH3TRQUabQu_ym0Zz7PgGX0-kHA/edit?usp=sharing"",""แผน!J21"")"),0)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18384</v>
      </c>
      <c r="O88" s="155">
        <f t="shared" ref="O88:O96" ca="1" si="50">IF(L88&gt;0,N88*100/L88,0)</f>
        <v>21.416589002795899</v>
      </c>
      <c r="P88" s="155">
        <f t="shared" ref="P88:P96" ca="1" si="51">IF(M88&gt;0,N88*100/M88,0)</f>
        <v>23.229719484457924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18384</v>
      </c>
      <c r="O90" s="93">
        <f t="shared" ca="1" si="50"/>
        <v>21.416589002795899</v>
      </c>
      <c r="P90" s="93">
        <f t="shared" ca="1" si="51"/>
        <v>23.229719484457924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6" t="s">
        <v>12</v>
      </c>
      <c r="I91" s="184"/>
      <c r="J91" s="184"/>
      <c r="K91" s="163"/>
      <c r="L91" s="466">
        <f t="shared" ref="L91:N91" ca="1" si="53">L92+L93</f>
        <v>85840</v>
      </c>
      <c r="M91" s="466">
        <f t="shared" ca="1" si="53"/>
        <v>79140</v>
      </c>
      <c r="N91" s="466">
        <f t="shared" ca="1" si="53"/>
        <v>18384</v>
      </c>
      <c r="O91" s="466">
        <f t="shared" ca="1" si="50"/>
        <v>21.416589002795899</v>
      </c>
      <c r="P91" s="466">
        <f t="shared" ca="1" si="51"/>
        <v>23.229719484457924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IFERROR(__xludf.DUMMYFUNCTION("IMPORTRANGE(""https://docs.google.com/spreadsheets/d/1MeEWN-I1oV_STSDYn1IFDPWt_1FKiwhDph83XaGc0o0/edit?usp=sharing"",""งบพรบ!AQ21"")"),85840)</f>
        <v>85840</v>
      </c>
      <c r="M93" s="93">
        <f ca="1">IFERROR(__xludf.DUMMYFUNCTION("IMPORTRANGE(""https://docs.google.com/spreadsheets/d/1MeEWN-I1oV_STSDYn1IFDPWt_1FKiwhDph83XaGc0o0/edit?usp=sharing"",""งบพรบ!AV21"")"),79140)</f>
        <v>79140</v>
      </c>
      <c r="N93" s="93">
        <f ca="1">IFERROR(__xludf.DUMMYFUNCTION("IMPORTRANGE(""https://docs.google.com/spreadsheets/d/1MeEWN-I1oV_STSDYn1IFDPWt_1FKiwhDph83XaGc0o0/edit?usp=sharing"",""งบพรบ!AX21"")"),18384)</f>
        <v>18384</v>
      </c>
      <c r="O93" s="93">
        <f t="shared" ca="1" si="50"/>
        <v>21.416589002795899</v>
      </c>
      <c r="P93" s="93">
        <f t="shared" ca="1" si="51"/>
        <v>23.229719484457924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IFERROR(__xludf.DUMMYFUNCTION("IMPORTRANGE(""https://docs.google.com/spreadsheets/d/1MeEWN-I1oV_STSDYn1IFDPWt_1FKiwhDph83XaGc0o0/edit?usp=sharing"",""งบพรบ!AT21"")"),0)</f>
        <v>0</v>
      </c>
      <c r="M96" s="93">
        <f ca="1">IFERROR(__xludf.DUMMYFUNCTION("IMPORTRANGE(""https://docs.google.com/spreadsheets/d/1MeEWN-I1oV_STSDYn1IFDPWt_1FKiwhDph83XaGc0o0/edit?usp=sharing"",""งบพรบ!AW21"")"),0)</f>
        <v>0</v>
      </c>
      <c r="N96" s="93">
        <f ca="1">IFERROR(__xludf.DUMMYFUNCTION("IMPORTRANGE(""https://docs.google.com/spreadsheets/d/1MeEWN-I1oV_STSDYn1IFDPWt_1FKiwhDph83XaGc0o0/edit?usp=sharing"",""งบพรบ!AY21"")"),0)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6" t="s">
        <v>38</v>
      </c>
      <c r="E97" s="173"/>
      <c r="F97" s="173"/>
      <c r="G97" s="174"/>
      <c r="H97" s="726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IFERROR(__xludf.DUMMYFUNCTION("IMPORTRANGE(""https://docs.google.com/spreadsheets/d/1QqKyyYR6Q21VydFLVH3TRQUabQu_ym0Zz7PgGX0-kHA/edit?usp=sharing"",""แผน!K21"")"),30)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IFERROR(__xludf.DUMMYFUNCTION("IMPORTRANGE(""https://docs.google.com/spreadsheets/d/1QqKyyYR6Q21VydFLVH3TRQUabQu_ym0Zz7PgGX0-kHA/edit?usp=sharing"",""แผน!L21"")"),10)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IFERROR(__xludf.DUMMYFUNCTION("IMPORTRANGE(""https://docs.google.com/spreadsheets/d/1QqKyyYR6Q21VydFLVH3TRQUabQu_ym0Zz7PgGX0-kHA/edit?usp=sharing"",""แผน!M21"")"),2)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IFERROR(__xludf.DUMMYFUNCTION("IMPORTRANGE(""https://docs.google.com/spreadsheets/d/1QqKyyYR6Q21VydFLVH3TRQUabQu_ym0Zz7PgGX0-kHA/edit?usp=sharing"",""แผน!N21"")"),30)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IFERROR(__xludf.DUMMYFUNCTION("IMPORTRANGE(""https://docs.google.com/spreadsheets/d/1QqKyyYR6Q21VydFLVH3TRQUabQu_ym0Zz7PgGX0-kHA/edit?usp=sharing"",""แผน!O21"")"),10)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IFERROR(__xludf.DUMMYFUNCTION("IMPORTRANGE(""https://docs.google.com/spreadsheets/d/1QqKyyYR6Q21VydFLVH3TRQUabQu_ym0Zz7PgGX0-kHA/edit?usp=sharing"",""แผน!O21"")"),10)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IFERROR(__xludf.DUMMYFUNCTION("IMPORTRANGE(""https://docs.google.com/spreadsheets/d/1QqKyyYR6Q21VydFLVH3TRQUabQu_ym0Zz7PgGX0-kHA/edit?usp=sharing"",""แผน!P21"")"),1)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IFERROR(__xludf.DUMMYFUNCTION("IMPORTRANGE(""https://docs.google.com/spreadsheets/d/1QqKyyYR6Q21VydFLVH3TRQUabQu_ym0Zz7PgGX0-kHA/edit?usp=sharing"",""แผน!P21"")"),1)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IFERROR(__xludf.DUMMYFUNCTION("IMPORTRANGE(""https://docs.google.com/spreadsheets/d/1QqKyyYR6Q21VydFLVH3TRQUabQu_ym0Zz7PgGX0-kHA/edit?usp=sharing"",""แผน!Q21"")"),1)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IFERROR(__xludf.DUMMYFUNCTION("IMPORTRANGE(""https://docs.google.com/spreadsheets/d/1QqKyyYR6Q21VydFLVH3TRQUabQu_ym0Zz7PgGX0-kHA/edit?usp=sharing"",""แผน!Q21"")"),1)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IFERROR(__xludf.DUMMYFUNCTION("IMPORTRANGE(""https://docs.google.com/spreadsheets/d/1QqKyyYR6Q21VydFLVH3TRQUabQu_ym0Zz7PgGX0-kHA/edit?usp=sharing"",""แผน!R21"")"),10)</f>
        <v>10</v>
      </c>
      <c r="J111" s="647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IFERROR(__xludf.DUMMYFUNCTION("IMPORTRANGE(""https://docs.google.com/spreadsheets/d/1QqKyyYR6Q21VydFLVH3TRQUabQu_ym0Zz7PgGX0-kHA/edit?usp=sharing"",""แผน!R21"")"),10)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IFERROR(__xludf.DUMMYFUNCTION("IMPORTRANGE(""https://docs.google.com/spreadsheets/d/1QqKyyYR6Q21VydFLVH3TRQUabQu_ym0Zz7PgGX0-kHA/edit?usp=sharing"",""แผน!R21"")"),10)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IFERROR(__xludf.DUMMYFUNCTION("IMPORTRANGE(""https://docs.google.com/spreadsheets/d/1QqKyyYR6Q21VydFLVH3TRQUabQu_ym0Zz7PgGX0-kHA/edit?usp=sharing"",""แผน!S21"")"),1)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IFERROR(__xludf.DUMMYFUNCTION("IMPORTRANGE(""https://docs.google.com/spreadsheets/d/1QqKyyYR6Q21VydFLVH3TRQUabQu_ym0Zz7PgGX0-kHA/edit?usp=sharing"",""แผน!T21"")"),1)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6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IFERROR(__xludf.DUMMYFUNCTION("IMPORTRANGE(""https://docs.google.com/spreadsheets/d/1MeEWN-I1oV_STSDYn1IFDPWt_1FKiwhDph83XaGc0o0/edit?usp=sharing"",""งบพรบ!BA21"")"),0)</f>
        <v>0</v>
      </c>
      <c r="M124" s="93">
        <f ca="1">IFERROR(__xludf.DUMMYFUNCTION("IMPORTRANGE(""https://docs.google.com/spreadsheets/d/1MeEWN-I1oV_STSDYn1IFDPWt_1FKiwhDph83XaGc0o0/edit?usp=sharing"",""งบพรบ!BF21"")"),0)</f>
        <v>0</v>
      </c>
      <c r="N124" s="93">
        <f ca="1">IFERROR(__xludf.DUMMYFUNCTION("IMPORTRANGE(""https://docs.google.com/spreadsheets/d/1MeEWN-I1oV_STSDYn1IFDPWt_1FKiwhDph83XaGc0o0/edit?usp=sharing"",""งบพรบ!BH21"")"),0)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IFERROR(__xludf.DUMMYFUNCTION("IMPORTRANGE(""https://docs.google.com/spreadsheets/d/1MeEWN-I1oV_STSDYn1IFDPWt_1FKiwhDph83XaGc0o0/edit?usp=sharing"",""งบพรบ!BD21"")"),0)</f>
        <v>0</v>
      </c>
      <c r="M127" s="93">
        <f ca="1">IFERROR(__xludf.DUMMYFUNCTION("IMPORTRANGE(""https://docs.google.com/spreadsheets/d/1MeEWN-I1oV_STSDYn1IFDPWt_1FKiwhDph83XaGc0o0/edit?usp=sharing"",""งบพรบ!BG21"")"),0)</f>
        <v>0</v>
      </c>
      <c r="N127" s="93">
        <f ca="1">IFERROR(__xludf.DUMMYFUNCTION("IMPORTRANGE(""https://docs.google.com/spreadsheets/d/1MeEWN-I1oV_STSDYn1IFDPWt_1FKiwhDph83XaGc0o0/edit?usp=sharing"",""งบพรบ!BI21"")"),0)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6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IFERROR(__xludf.DUMMYFUNCTION("IMPORTRANGE(""https://docs.google.com/spreadsheets/d/1MeEWN-I1oV_STSDYn1IFDPWt_1FKiwhDph83XaGc0o0/edit?usp=sharing"",""งบพรบ!BK21"")"),0)</f>
        <v>0</v>
      </c>
      <c r="M137" s="93">
        <f ca="1">IFERROR(__xludf.DUMMYFUNCTION("IMPORTRANGE(""https://docs.google.com/spreadsheets/d/1MeEWN-I1oV_STSDYn1IFDPWt_1FKiwhDph83XaGc0o0/edit?usp=sharing"",""งบพรบ!BP21"")"),0)</f>
        <v>0</v>
      </c>
      <c r="N137" s="93">
        <f ca="1">IFERROR(__xludf.DUMMYFUNCTION("IMPORTRANGE(""https://docs.google.com/spreadsheets/d/1MeEWN-I1oV_STSDYn1IFDPWt_1FKiwhDph83XaGc0o0/edit?usp=sharing"",""งบพรบ!BR21"")"),0)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IFERROR(__xludf.DUMMYFUNCTION("IMPORTRANGE(""https://docs.google.com/spreadsheets/d/1MeEWN-I1oV_STSDYn1IFDPWt_1FKiwhDph83XaGc0o0/edit?usp=sharing"",""งบพรบ!BN21"")"),0)</f>
        <v>0</v>
      </c>
      <c r="M140" s="93">
        <f ca="1">IFERROR(__xludf.DUMMYFUNCTION("IMPORTRANGE(""https://docs.google.com/spreadsheets/d/1MeEWN-I1oV_STSDYn1IFDPWt_1FKiwhDph83XaGc0o0/edit?usp=sharing"",""งบพรบ!BQ21"")"),0)</f>
        <v>0</v>
      </c>
      <c r="N140" s="93">
        <f ca="1">IFERROR(__xludf.DUMMYFUNCTION("IMPORTRANGE(""https://docs.google.com/spreadsheets/d/1MeEWN-I1oV_STSDYn1IFDPWt_1FKiwhDph83XaGc0o0/edit?usp=sharing"",""งบพรบ!BS21"")"),0)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IFERROR(__xludf.DUMMYFUNCTION("IMPORTRANGE(""https://docs.google.com/spreadsheets/d/1QqKyyYR6Q21VydFLVH3TRQUabQu_ym0Zz7PgGX0-kHA/edit?usp=sharing"",""แผน!U21"")"),0)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IFERROR(__xludf.DUMMYFUNCTION("IMPORTRANGE(""https://docs.google.com/spreadsheets/d/1QqKyyYR6Q21VydFLVH3TRQUabQu_ym0Zz7PgGX0-kHA/edit?usp=sharing"",""แผน!V21"")"),0)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IFERROR(__xludf.DUMMYFUNCTION("IMPORTRANGE(""https://docs.google.com/spreadsheets/d/1QqKyyYR6Q21VydFLVH3TRQUabQu_ym0Zz7PgGX0-kHA/edit?usp=sharing"",""แผน!W21"")"),0)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1600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1600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6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1600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IFERROR(__xludf.DUMMYFUNCTION("IMPORTRANGE(""https://docs.google.com/spreadsheets/d/1MeEWN-I1oV_STSDYn1IFDPWt_1FKiwhDph83XaGc0o0/edit?usp=sharing"",""งบพรบ!BU21"")"),0)</f>
        <v>0</v>
      </c>
      <c r="M154" s="93">
        <f ca="1">IFERROR(__xludf.DUMMYFUNCTION("IMPORTRANGE(""https://docs.google.com/spreadsheets/d/1MeEWN-I1oV_STSDYn1IFDPWt_1FKiwhDph83XaGc0o0/edit?usp=sharing"",""งบพรบ!BZ21"")"),1600)</f>
        <v>1600</v>
      </c>
      <c r="N154" s="93">
        <f ca="1">IFERROR(__xludf.DUMMYFUNCTION("IMPORTRANGE(""https://docs.google.com/spreadsheets/d/1MeEWN-I1oV_STSDYn1IFDPWt_1FKiwhDph83XaGc0o0/edit?usp=sharing"",""งบพรบ!CB21"")"),0)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IFERROR(__xludf.DUMMYFUNCTION("IMPORTRANGE(""https://docs.google.com/spreadsheets/d/1MeEWN-I1oV_STSDYn1IFDPWt_1FKiwhDph83XaGc0o0/edit?usp=sharing"",""งบพรบ!BX21"")"),0)</f>
        <v>0</v>
      </c>
      <c r="M157" s="93">
        <f ca="1">IFERROR(__xludf.DUMMYFUNCTION("IMPORTRANGE(""https://docs.google.com/spreadsheets/d/1MeEWN-I1oV_STSDYn1IFDPWt_1FKiwhDph83XaGc0o0/edit?usp=sharing"",""งบพรบ!CA21"")"),0)</f>
        <v>0</v>
      </c>
      <c r="N157" s="93">
        <f ca="1">IFERROR(__xludf.DUMMYFUNCTION("IMPORTRANGE(""https://docs.google.com/spreadsheets/d/1MeEWN-I1oV_STSDYn1IFDPWt_1FKiwhDph83XaGc0o0/edit?usp=sharing"",""งบพรบ!CC21"")"),0)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IFERROR(__xludf.DUMMYFUNCTION("IMPORTRANGE(""https://docs.google.com/spreadsheets/d/1QqKyyYR6Q21VydFLVH3TRQUabQu_ym0Zz7PgGX0-kHA/edit?usp=sharing"",""แผน!X21"")"),0)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3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21325</v>
      </c>
      <c r="O165" s="155">
        <f t="shared" ref="O165:O173" ca="1" si="85">IF(L165&gt;0,N165*100/L165,0)</f>
        <v>96.690092949444576</v>
      </c>
      <c r="P165" s="155">
        <f t="shared" ref="P165:P173" ca="1" si="86">IF(M165&gt;0,N165*100/M165,0)</f>
        <v>96.690092949444576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21325</v>
      </c>
      <c r="O167" s="93">
        <f t="shared" ca="1" si="85"/>
        <v>96.690092949444576</v>
      </c>
      <c r="P167" s="93">
        <f t="shared" ca="1" si="86"/>
        <v>96.690092949444576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6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22055</v>
      </c>
      <c r="N168" s="466">
        <f t="shared" ca="1" si="88"/>
        <v>21325</v>
      </c>
      <c r="O168" s="466">
        <f t="shared" ca="1" si="85"/>
        <v>96.690092949444576</v>
      </c>
      <c r="P168" s="466">
        <f t="shared" ca="1" si="86"/>
        <v>96.690092949444576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IFERROR(__xludf.DUMMYFUNCTION("IMPORTRANGE(""https://docs.google.com/spreadsheets/d/1MeEWN-I1oV_STSDYn1IFDPWt_1FKiwhDph83XaGc0o0/edit?usp=sharing"",""งบพรบ!CE21"")"),22055)</f>
        <v>22055</v>
      </c>
      <c r="M170" s="93">
        <f ca="1">IFERROR(__xludf.DUMMYFUNCTION("IMPORTRANGE(""https://docs.google.com/spreadsheets/d/1MeEWN-I1oV_STSDYn1IFDPWt_1FKiwhDph83XaGc0o0/edit?usp=sharing"",""งบพรบ!CJ21"")"),22055)</f>
        <v>22055</v>
      </c>
      <c r="N170" s="93">
        <f ca="1">IFERROR(__xludf.DUMMYFUNCTION("IMPORTRANGE(""https://docs.google.com/spreadsheets/d/1MeEWN-I1oV_STSDYn1IFDPWt_1FKiwhDph83XaGc0o0/edit?usp=sharing"",""งบพรบ!CL21"")"),21325)</f>
        <v>21325</v>
      </c>
      <c r="O170" s="93">
        <f t="shared" ca="1" si="85"/>
        <v>96.690092949444576</v>
      </c>
      <c r="P170" s="93">
        <f t="shared" ca="1" si="86"/>
        <v>96.690092949444576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IFERROR(__xludf.DUMMYFUNCTION("IMPORTRANGE(""https://docs.google.com/spreadsheets/d/1MeEWN-I1oV_STSDYn1IFDPWt_1FKiwhDph83XaGc0o0/edit?usp=sharing"",""งบพรบ!CH21"")"),0)</f>
        <v>0</v>
      </c>
      <c r="M173" s="93">
        <f ca="1">IFERROR(__xludf.DUMMYFUNCTION("IMPORTRANGE(""https://docs.google.com/spreadsheets/d/1MeEWN-I1oV_STSDYn1IFDPWt_1FKiwhDph83XaGc0o0/edit?usp=sharing"",""งบพรบ!CK21"")"),0)</f>
        <v>0</v>
      </c>
      <c r="N173" s="93">
        <f ca="1">IFERROR(__xludf.DUMMYFUNCTION("IMPORTRANGE(""https://docs.google.com/spreadsheets/d/1MeEWN-I1oV_STSDYn1IFDPWt_1FKiwhDph83XaGc0o0/edit?usp=sharing"",""งบพรบ!CM21"")"),0)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6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53000</v>
      </c>
      <c r="M181" s="155">
        <f t="shared" ca="1" si="92"/>
        <v>30000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53000</v>
      </c>
      <c r="M183" s="93">
        <f t="shared" ca="1" si="95"/>
        <v>30000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6" t="s">
        <v>12</v>
      </c>
      <c r="I184" s="184"/>
      <c r="J184" s="184"/>
      <c r="K184" s="163"/>
      <c r="L184" s="466">
        <f t="shared" ref="L184:N184" ca="1" si="96">L185+L186</f>
        <v>53000</v>
      </c>
      <c r="M184" s="466">
        <f t="shared" ca="1" si="96"/>
        <v>30000</v>
      </c>
      <c r="N184" s="466">
        <f t="shared" ca="1" si="96"/>
        <v>0</v>
      </c>
      <c r="O184" s="466">
        <f t="shared" ca="1" si="93"/>
        <v>0</v>
      </c>
      <c r="P184" s="466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IFERROR(__xludf.DUMMYFUNCTION("IMPORTRANGE(""https://docs.google.com/spreadsheets/d/1MeEWN-I1oV_STSDYn1IFDPWt_1FKiwhDph83XaGc0o0/edit?usp=sharing"",""งบพรบ!CO21"")"),53000)</f>
        <v>53000</v>
      </c>
      <c r="M186" s="93">
        <f ca="1">IFERROR(__xludf.DUMMYFUNCTION("IMPORTRANGE(""https://docs.google.com/spreadsheets/d/1MeEWN-I1oV_STSDYn1IFDPWt_1FKiwhDph83XaGc0o0/edit?usp=sharing"",""งบพรบ!CT21"")"),30000)</f>
        <v>30000</v>
      </c>
      <c r="N186" s="93">
        <f ca="1">IFERROR(__xludf.DUMMYFUNCTION("IMPORTRANGE(""https://docs.google.com/spreadsheets/d/1MeEWN-I1oV_STSDYn1IFDPWt_1FKiwhDph83XaGc0o0/edit?usp=sharing"",""งบพรบ!CV21"")"),0)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IFERROR(__xludf.DUMMYFUNCTION("IMPORTRANGE(""https://docs.google.com/spreadsheets/d/1MeEWN-I1oV_STSDYn1IFDPWt_1FKiwhDph83XaGc0o0/edit?usp=sharing"",""งบพรบ!CR21"")"),0)</f>
        <v>0</v>
      </c>
      <c r="M189" s="93">
        <f ca="1">IFERROR(__xludf.DUMMYFUNCTION("IMPORTRANGE(""https://docs.google.com/spreadsheets/d/1MeEWN-I1oV_STSDYn1IFDPWt_1FKiwhDph83XaGc0o0/edit?usp=sharing"",""งบพรบ!CU21"")"),0)</f>
        <v>0</v>
      </c>
      <c r="N189" s="93">
        <f ca="1">IFERROR(__xludf.DUMMYFUNCTION("IMPORTRANGE(""https://docs.google.com/spreadsheets/d/1MeEWN-I1oV_STSDYn1IFDPWt_1FKiwhDph83XaGc0o0/edit?usp=sharing"",""งบพรบ!CW21"")"),0)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3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6" t="s">
        <v>38</v>
      </c>
      <c r="E192" s="173"/>
      <c r="F192" s="173"/>
      <c r="G192" s="174"/>
      <c r="H192" s="726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28" t="s">
        <v>90</v>
      </c>
      <c r="I193" s="270">
        <f ca="1">IFERROR(__xludf.DUMMYFUNCTION("IMPORTRANGE(""https://docs.google.com/spreadsheets/d/1QqKyyYR6Q21VydFLVH3TRQUabQu_ym0Zz7PgGX0-kHA/edit?usp=sharing"",""แผน!AC21"")"),4)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3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6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IFERROR(__xludf.DUMMYFUNCTION("IMPORTRANGE(""https://docs.google.com/spreadsheets/d/1QqKyyYR6Q21VydFLVH3TRQUabQu_ym0Zz7PgGX0-kHA/edit?usp=sharing"",""แผน!AE21"")"),3000)</f>
        <v>3000</v>
      </c>
      <c r="M199" s="466"/>
      <c r="N199" s="798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IFERROR(__xludf.DUMMYFUNCTION("IMPORTRANGE(""https://docs.google.com/spreadsheets/d/1QqKyyYR6Q21VydFLVH3TRQUabQu_ym0Zz7PgGX0-kHA/edit?usp=sharing"",""แผน!AF21"")"),24000)</f>
        <v>24000</v>
      </c>
      <c r="M200" s="466"/>
      <c r="N200" s="798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IFERROR(__xludf.DUMMYFUNCTION("IMPORTRANGE(""https://docs.google.com/spreadsheets/d/1QqKyyYR6Q21VydFLVH3TRQUabQu_ym0Zz7PgGX0-kHA/edit?usp=sharing"",""แผน!AG21"")"),12000)</f>
        <v>12000</v>
      </c>
      <c r="M201" s="466"/>
      <c r="N201" s="798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IFERROR(__xludf.DUMMYFUNCTION("IMPORTRANGE(""https://docs.google.com/spreadsheets/d/1QqKyyYR6Q21VydFLVH3TRQUabQu_ym0Zz7PgGX0-kHA/edit?usp=sharing"",""แผน!AH21"")"),0)</f>
        <v>0</v>
      </c>
      <c r="M202" s="466"/>
      <c r="N202" s="798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6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6" t="s">
        <v>96</v>
      </c>
      <c r="I204" s="270">
        <f ca="1">IFERROR(__xludf.DUMMYFUNCTION("IMPORTRANGE(""https://docs.google.com/spreadsheets/d/1QqKyyYR6Q21VydFLVH3TRQUabQu_ym0Zz7PgGX0-kHA/edit?usp=sharing"",""แผน!AI21"")"),3)</f>
        <v>3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6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3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6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IFERROR(__xludf.DUMMYFUNCTION("IMPORTRANGE(""https://docs.google.com/spreadsheets/d/1QqKyyYR6Q21VydFLVH3TRQUabQu_ym0Zz7PgGX0-kHA/edit?usp=sharing"",""แผน!AK21"")"),0)</f>
        <v>0</v>
      </c>
      <c r="M210" s="466"/>
      <c r="N210" s="798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6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IFERROR(__xludf.DUMMYFUNCTION("IMPORTRANGE(""https://docs.google.com/spreadsheets/d/1QqKyyYR6Q21VydFLVH3TRQUabQu_ym0Zz7PgGX0-kHA/edit?usp=sharing"",""แผน!AL21"")"),0)</f>
        <v>0</v>
      </c>
      <c r="M211" s="466"/>
      <c r="N211" s="798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6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IFERROR(__xludf.DUMMYFUNCTION("IMPORTRANGE(""https://docs.google.com/spreadsheets/d/1QqKyyYR6Q21VydFLVH3TRQUabQu_ym0Zz7PgGX0-kHA/edit?usp=sharing"",""แผน!AM21"")"),0)</f>
        <v>0</v>
      </c>
      <c r="M212" s="466"/>
      <c r="N212" s="798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6" t="s">
        <v>38</v>
      </c>
      <c r="E213" s="173"/>
      <c r="F213" s="173"/>
      <c r="G213" s="174"/>
      <c r="H213" s="726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6" t="s">
        <v>96</v>
      </c>
      <c r="I214" s="270">
        <f ca="1">IFERROR(__xludf.DUMMYFUNCTION("IMPORTRANGE(""https://docs.google.com/spreadsheets/d/1QqKyyYR6Q21VydFLVH3TRQUabQu_ym0Zz7PgGX0-kHA/edit?usp=sharing"",""แผน!AN21"")"),0)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6" t="s">
        <v>96</v>
      </c>
      <c r="I215" s="270">
        <f ca="1">IFERROR(__xludf.DUMMYFUNCTION("IMPORTRANGE(""https://docs.google.com/spreadsheets/d/1QqKyyYR6Q21VydFLVH3TRQUabQu_ym0Zz7PgGX0-kHA/edit?usp=sharing"",""แผน!AN21"")"),0)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3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6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IFERROR(__xludf.DUMMYFUNCTION("IMPORTRANGE(""https://docs.google.com/spreadsheets/d/1QqKyyYR6Q21VydFLVH3TRQUabQu_ym0Zz7PgGX0-kHA/edit?usp=sharing"",""แผน!AP21"")"),3000)</f>
        <v>3000</v>
      </c>
      <c r="M218" s="466"/>
      <c r="N218" s="798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6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IFERROR(__xludf.DUMMYFUNCTION("IMPORTRANGE(""https://docs.google.com/spreadsheets/d/1QqKyyYR6Q21VydFLVH3TRQUabQu_ym0Zz7PgGX0-kHA/edit?usp=sharing"",""แผน!AQ21"")"),5000)</f>
        <v>5000</v>
      </c>
      <c r="M219" s="466"/>
      <c r="N219" s="798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6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IFERROR(__xludf.DUMMYFUNCTION("IMPORTRANGE(""https://docs.google.com/spreadsheets/d/1QqKyyYR6Q21VydFLVH3TRQUabQu_ym0Zz7PgGX0-kHA/edit?usp=sharing"",""แผน!AR21"")"),0)</f>
        <v>0</v>
      </c>
      <c r="M220" s="466"/>
      <c r="N220" s="798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6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28" t="s">
        <v>109</v>
      </c>
      <c r="I223" s="270">
        <f ca="1">IFERROR(__xludf.DUMMYFUNCTION("IMPORTRANGE(""https://docs.google.com/spreadsheets/d/1QqKyyYR6Q21VydFLVH3TRQUabQu_ym0Zz7PgGX0-kHA/edit?usp=sharing"",""แผน!AT21"")"),20000)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28" t="s">
        <v>109</v>
      </c>
      <c r="I224" s="270">
        <f ca="1">IFERROR(__xludf.DUMMYFUNCTION("IMPORTRANGE(""https://docs.google.com/spreadsheets/d/1QqKyyYR6Q21VydFLVH3TRQUabQu_ym0Zz7PgGX0-kHA/edit?usp=sharing"",""แผน!AT21"")"),20000)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28" t="s">
        <v>35</v>
      </c>
      <c r="I225" s="270">
        <f ca="1">IFERROR(__xludf.DUMMYFUNCTION("IMPORTRANGE(""https://docs.google.com/spreadsheets/d/1QqKyyYR6Q21VydFLVH3TRQUabQu_ym0Zz7PgGX0-kHA/edit?usp=sharing"",""แผน!AS21"")"),0)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0" t="s">
        <v>115</v>
      </c>
      <c r="D226" s="257"/>
      <c r="E226" s="257"/>
      <c r="F226" s="257"/>
      <c r="G226" s="259"/>
      <c r="H226" s="266" t="s">
        <v>35</v>
      </c>
      <c r="I226" s="841">
        <f t="shared" ref="I226:J226" ca="1" si="105">I237+I248</f>
        <v>0</v>
      </c>
      <c r="J226" s="841">
        <f t="shared" si="105"/>
        <v>0</v>
      </c>
      <c r="K226" s="84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3"/>
      <c r="B227" s="844"/>
      <c r="C227" s="845" t="s">
        <v>16</v>
      </c>
      <c r="D227" s="846" t="s">
        <v>17</v>
      </c>
      <c r="E227" s="844"/>
      <c r="F227" s="844"/>
      <c r="G227" s="847"/>
      <c r="H227" s="848" t="s">
        <v>12</v>
      </c>
      <c r="I227" s="849"/>
      <c r="J227" s="849"/>
      <c r="K227" s="850"/>
      <c r="L227" s="851">
        <f t="shared" ref="L227:L231" ca="1" si="106">L238+L249</f>
        <v>0</v>
      </c>
      <c r="M227" s="851"/>
      <c r="N227" s="851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3"/>
      <c r="B229" s="543"/>
      <c r="C229" s="85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5"/>
      <c r="R229" s="855"/>
      <c r="S229" s="855"/>
      <c r="T229" s="855"/>
      <c r="U229" s="855"/>
      <c r="V229" s="855"/>
      <c r="W229" s="855"/>
      <c r="X229" s="855"/>
      <c r="Y229" s="855"/>
      <c r="Z229" s="855"/>
    </row>
    <row r="230" spans="1:26" ht="19.5" hidden="1">
      <c r="A230" s="853"/>
      <c r="B230" s="543"/>
      <c r="C230" s="85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5"/>
      <c r="R230" s="855"/>
      <c r="S230" s="855"/>
      <c r="T230" s="855"/>
      <c r="U230" s="855"/>
      <c r="V230" s="855"/>
      <c r="W230" s="855"/>
      <c r="X230" s="855"/>
      <c r="Y230" s="855"/>
      <c r="Z230" s="855"/>
    </row>
    <row r="231" spans="1:26" ht="19.5" hidden="1">
      <c r="A231" s="853"/>
      <c r="B231" s="543"/>
      <c r="C231" s="85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5"/>
      <c r="R231" s="855"/>
      <c r="S231" s="855"/>
      <c r="T231" s="855"/>
      <c r="U231" s="855"/>
      <c r="V231" s="855"/>
      <c r="W231" s="855"/>
      <c r="X231" s="855"/>
      <c r="Y231" s="855"/>
      <c r="Z231" s="855"/>
    </row>
    <row r="232" spans="1:26" ht="19.5" hidden="1">
      <c r="A232" s="856"/>
      <c r="B232" s="857"/>
      <c r="C232" s="854" t="s">
        <v>16</v>
      </c>
      <c r="D232" s="267" t="s">
        <v>38</v>
      </c>
      <c r="E232" s="858"/>
      <c r="F232" s="858"/>
      <c r="G232" s="85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6"/>
      <c r="B233" s="857"/>
      <c r="C233" s="857"/>
      <c r="D233" s="269" t="s">
        <v>117</v>
      </c>
      <c r="E233" s="537"/>
      <c r="F233" s="537"/>
      <c r="G233" s="86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6"/>
      <c r="B234" s="857"/>
      <c r="C234" s="857"/>
      <c r="D234" s="861" t="s">
        <v>43</v>
      </c>
      <c r="E234" s="537"/>
      <c r="F234" s="537"/>
      <c r="G234" s="86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6"/>
      <c r="B235" s="857"/>
      <c r="C235" s="857"/>
      <c r="D235" s="857"/>
      <c r="E235" s="268" t="s">
        <v>118</v>
      </c>
      <c r="F235" s="537"/>
      <c r="G235" s="86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6"/>
      <c r="B236" s="857"/>
      <c r="C236" s="857"/>
      <c r="D236" s="857"/>
      <c r="E236" s="268" t="s">
        <v>119</v>
      </c>
      <c r="F236" s="537"/>
      <c r="G236" s="86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IFERROR(__xludf.DUMMYFUNCTION("IMPORTRANGE(""https://docs.google.com/spreadsheets/d/1QqKyyYR6Q21VydFLVH3TRQUabQu_ym0Zz7PgGX0-kHA/edit?usp=sharing"",""แผน!AV21"")"),0)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IFERROR(__xludf.DUMMYFUNCTION("IMPORTRANGE(""https://docs.google.com/spreadsheets/d/1QqKyyYR6Q21VydFLVH3TRQUabQu_ym0Zz7PgGX0-kHA/edit?usp=sharing"",""แผน!AW21"")"),0)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IFERROR(__xludf.DUMMYFUNCTION("IMPORTRANGE(""https://docs.google.com/spreadsheets/d/1QqKyyYR6Q21VydFLVH3TRQUabQu_ym0Zz7PgGX0-kHA/edit?usp=sharing"",""แผน!AX21"")"),0)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IFERROR(__xludf.DUMMYFUNCTION("IMPORTRANGE(""https://docs.google.com/spreadsheets/d/1QqKyyYR6Q21VydFLVH3TRQUabQu_ym0Zz7PgGX0-kHA/edit?usp=sharing"",""แผน!AY21"")"),0)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6" t="s">
        <v>38</v>
      </c>
      <c r="E243" s="173"/>
      <c r="F243" s="173"/>
      <c r="G243" s="174"/>
      <c r="H243" s="726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28" t="s">
        <v>35</v>
      </c>
      <c r="I244" s="270">
        <f ca="1">IFERROR(__xludf.DUMMYFUNCTION("IMPORTRANGE(""https://docs.google.com/spreadsheets/d/1QqKyyYR6Q21VydFLVH3TRQUabQu_ym0Zz7PgGX0-kHA/edit?usp=sharing"",""แผน!BE21"")"),0)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28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28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28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3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IFERROR(__xludf.DUMMYFUNCTION("IMPORTRANGE(""https://docs.google.com/spreadsheets/d/1QqKyyYR6Q21VydFLVH3TRQUabQu_ym0Zz7PgGX0-kHA/edit?usp=sharing"",""แผน!AZ21"")"),0)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IFERROR(__xludf.DUMMYFUNCTION("IMPORTRANGE(""https://docs.google.com/spreadsheets/d/1QqKyyYR6Q21VydFLVH3TRQUabQu_ym0Zz7PgGX0-kHA/edit?usp=sharing"",""แผน!BA21"")"),0)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IFERROR(__xludf.DUMMYFUNCTION("IMPORTRANGE(""https://docs.google.com/spreadsheets/d/1QqKyyYR6Q21VydFLVH3TRQUabQu_ym0Zz7PgGX0-kHA/edit?usp=sharing"",""แผน!BB21"")"),0)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IFERROR(__xludf.DUMMYFUNCTION("IMPORTRANGE(""https://docs.google.com/spreadsheets/d/1QqKyyYR6Q21VydFLVH3TRQUabQu_ym0Zz7PgGX0-kHA/edit?usp=sharing"",""แผน!BC21"")"),0)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6" t="s">
        <v>38</v>
      </c>
      <c r="E254" s="173"/>
      <c r="F254" s="173"/>
      <c r="G254" s="174"/>
      <c r="H254" s="726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28" t="s">
        <v>35</v>
      </c>
      <c r="I255" s="270">
        <f ca="1">IFERROR(__xludf.DUMMYFUNCTION("IMPORTRANGE(""https://docs.google.com/spreadsheets/d/1QqKyyYR6Q21VydFLVH3TRQUabQu_ym0Zz7PgGX0-kHA/edit?usp=sharing"",""แผน!BF21"")"),0)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28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28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28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153900</v>
      </c>
      <c r="N261" s="155">
        <f t="shared" ca="1" si="116"/>
        <v>100080.01</v>
      </c>
      <c r="O261" s="155">
        <f t="shared" ref="O261:O269" ca="1" si="117">IF(L261&gt;0,N261*100/L261,0)</f>
        <v>31.984662831575584</v>
      </c>
      <c r="P261" s="155">
        <f t="shared" ref="P261:P269" ca="1" si="118">IF(M261&gt;0,N261*100/M261,0)</f>
        <v>65.029246263807664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312900</v>
      </c>
      <c r="M263" s="93">
        <f t="shared" ca="1" si="119"/>
        <v>153900</v>
      </c>
      <c r="N263" s="93">
        <f t="shared" ca="1" si="119"/>
        <v>100080.01</v>
      </c>
      <c r="O263" s="93">
        <f t="shared" ca="1" si="117"/>
        <v>31.984662831575584</v>
      </c>
      <c r="P263" s="93">
        <f t="shared" ca="1" si="118"/>
        <v>65.029246263807664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6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153900</v>
      </c>
      <c r="N264" s="466">
        <f t="shared" ca="1" si="120"/>
        <v>100080.01</v>
      </c>
      <c r="O264" s="466">
        <f t="shared" ca="1" si="117"/>
        <v>31.984662831575584</v>
      </c>
      <c r="P264" s="466">
        <f t="shared" ca="1" si="118"/>
        <v>65.029246263807664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IFERROR(__xludf.DUMMYFUNCTION("IMPORTRANGE(""https://docs.google.com/spreadsheets/d/1MeEWN-I1oV_STSDYn1IFDPWt_1FKiwhDph83XaGc0o0/edit?usp=sharing"",""งบพรบ!CY21"")"),312900)</f>
        <v>312900</v>
      </c>
      <c r="M266" s="93">
        <f ca="1">IFERROR(__xludf.DUMMYFUNCTION("IMPORTRANGE(""https://docs.google.com/spreadsheets/d/1MeEWN-I1oV_STSDYn1IFDPWt_1FKiwhDph83XaGc0o0/edit?usp=sharing"",""งบพรบ!DD21"")"),153900)</f>
        <v>153900</v>
      </c>
      <c r="N266" s="93">
        <f ca="1">IFERROR(__xludf.DUMMYFUNCTION("IMPORTRANGE(""https://docs.google.com/spreadsheets/d/1MeEWN-I1oV_STSDYn1IFDPWt_1FKiwhDph83XaGc0o0/edit?usp=sharing"",""งบพรบ!DF21"")"),100080.01)</f>
        <v>100080.01</v>
      </c>
      <c r="O266" s="93">
        <f t="shared" ca="1" si="117"/>
        <v>31.984662831575584</v>
      </c>
      <c r="P266" s="93">
        <f t="shared" ca="1" si="118"/>
        <v>65.029246263807664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IFERROR(__xludf.DUMMYFUNCTION("IMPORTRANGE(""https://docs.google.com/spreadsheets/d/1MeEWN-I1oV_STSDYn1IFDPWt_1FKiwhDph83XaGc0o0/edit?usp=sharing"",""งบพรบ!DB21"")"),0)</f>
        <v>0</v>
      </c>
      <c r="M269" s="93">
        <f ca="1">IFERROR(__xludf.DUMMYFUNCTION("IMPORTRANGE(""https://docs.google.com/spreadsheets/d/1MeEWN-I1oV_STSDYn1IFDPWt_1FKiwhDph83XaGc0o0/edit?usp=sharing"",""งบพรบ!DE21"")"),0)</f>
        <v>0</v>
      </c>
      <c r="N269" s="93">
        <f ca="1">IFERROR(__xludf.DUMMYFUNCTION("IMPORTRANGE(""https://docs.google.com/spreadsheets/d/1MeEWN-I1oV_STSDYn1IFDPWt_1FKiwhDph83XaGc0o0/edit?usp=sharing"",""งบพรบ!DG21"")"),0)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6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3">
        <f t="shared" ref="I276:J276" ca="1" si="124">I287</f>
        <v>100</v>
      </c>
      <c r="J276" s="883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189110</v>
      </c>
      <c r="M277" s="155">
        <f t="shared" ca="1" si="125"/>
        <v>115060</v>
      </c>
      <c r="N277" s="155">
        <f t="shared" ca="1" si="125"/>
        <v>66460.100000000006</v>
      </c>
      <c r="O277" s="155">
        <f t="shared" ref="O277:O285" ca="1" si="126">IF(L277&gt;0,N277*100/L277,0)</f>
        <v>35.143620115276825</v>
      </c>
      <c r="P277" s="155">
        <f t="shared" ref="P277:P285" ca="1" si="127">IF(M277&gt;0,N277*100/M277,0)</f>
        <v>57.761254997392676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189110</v>
      </c>
      <c r="M279" s="93">
        <f t="shared" ca="1" si="128"/>
        <v>115060</v>
      </c>
      <c r="N279" s="93">
        <f t="shared" ca="1" si="128"/>
        <v>66460.100000000006</v>
      </c>
      <c r="O279" s="93">
        <f t="shared" ca="1" si="126"/>
        <v>35.143620115276825</v>
      </c>
      <c r="P279" s="93">
        <f t="shared" ca="1" si="127"/>
        <v>57.761254997392676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6" t="s">
        <v>12</v>
      </c>
      <c r="I280" s="184"/>
      <c r="J280" s="184"/>
      <c r="K280" s="163"/>
      <c r="L280" s="466">
        <f t="shared" ref="L280:N280" ca="1" si="129">L281+L282</f>
        <v>189110</v>
      </c>
      <c r="M280" s="466">
        <f t="shared" ca="1" si="129"/>
        <v>115060</v>
      </c>
      <c r="N280" s="466">
        <f t="shared" ca="1" si="129"/>
        <v>66460.100000000006</v>
      </c>
      <c r="O280" s="466">
        <f t="shared" ca="1" si="126"/>
        <v>35.143620115276825</v>
      </c>
      <c r="P280" s="466">
        <f t="shared" ca="1" si="127"/>
        <v>57.761254997392676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IFERROR(__xludf.DUMMYFUNCTION("IMPORTRANGE(""https://docs.google.com/spreadsheets/d/1MeEWN-I1oV_STSDYn1IFDPWt_1FKiwhDph83XaGc0o0/edit?usp=sharing"",""งบพรบ!DI21"")"),189110)</f>
        <v>189110</v>
      </c>
      <c r="M282" s="93">
        <f ca="1">IFERROR(__xludf.DUMMYFUNCTION("IMPORTRANGE(""https://docs.google.com/spreadsheets/d/1MeEWN-I1oV_STSDYn1IFDPWt_1FKiwhDph83XaGc0o0/edit?usp=sharing"",""งบพรบ!DN21"")"),115060)</f>
        <v>115060</v>
      </c>
      <c r="N282" s="93">
        <f ca="1">IFERROR(__xludf.DUMMYFUNCTION("IMPORTRANGE(""https://docs.google.com/spreadsheets/d/1MeEWN-I1oV_STSDYn1IFDPWt_1FKiwhDph83XaGc0o0/edit?usp=sharing"",""งบพรบ!DP21"")"),66460.1)</f>
        <v>66460.100000000006</v>
      </c>
      <c r="O282" s="93">
        <f t="shared" ca="1" si="126"/>
        <v>35.143620115276825</v>
      </c>
      <c r="P282" s="93">
        <f t="shared" ca="1" si="127"/>
        <v>57.761254997392676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IFERROR(__xludf.DUMMYFUNCTION("IMPORTRANGE(""https://docs.google.com/spreadsheets/d/1MeEWN-I1oV_STSDYn1IFDPWt_1FKiwhDph83XaGc0o0/edit?usp=sharing"",""งบพรบ!DL21"")"),0)</f>
        <v>0</v>
      </c>
      <c r="M285" s="93">
        <f ca="1">IFERROR(__xludf.DUMMYFUNCTION("IMPORTRANGE(""https://docs.google.com/spreadsheets/d/1MeEWN-I1oV_STSDYn1IFDPWt_1FKiwhDph83XaGc0o0/edit?usp=sharing"",""งบพรบ!DO21"")"),0)</f>
        <v>0</v>
      </c>
      <c r="N285" s="93">
        <f ca="1">IFERROR(__xludf.DUMMYFUNCTION("IMPORTRANGE(""https://docs.google.com/spreadsheets/d/1MeEWN-I1oV_STSDYn1IFDPWt_1FKiwhDph83XaGc0o0/edit?usp=sharing"",""งบพรบ!DQ21"")"),0)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6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5" t="s">
        <v>46</v>
      </c>
      <c r="I287" s="270">
        <f ca="1">IFERROR(__xludf.DUMMYFUNCTION("IMPORTRANGE(""https://docs.google.com/spreadsheets/d/1QqKyyYR6Q21VydFLVH3TRQUabQu_ym0Zz7PgGX0-kHA/edit?usp=sharing"",""แผน!EC21"")"),100)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IFERROR(__xludf.DUMMYFUNCTION("IMPORTRANGE(""https://docs.google.com/spreadsheets/d/1QqKyyYR6Q21VydFLVH3TRQUabQu_ym0Zz7PgGX0-kHA/edit?usp=sharing"",""แผน!EB21"")"),10)</f>
        <v>10</v>
      </c>
      <c r="J288" s="647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2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IFERROR(__xludf.DUMMYFUNCTION("IMPORTRANGE(""https://docs.google.com/spreadsheets/d/1QqKyyYR6Q21VydFLVH3TRQUabQu_ym0Zz7PgGX0-kHA/edit?usp=sharing"",""แผน!EB21"")"),10)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IFERROR(__xludf.DUMMYFUNCTION("IMPORTRANGE(""https://docs.google.com/spreadsheets/d/1QqKyyYR6Q21VydFLVH3TRQUabQu_ym0Zz7PgGX0-kHA/edit?usp=sharing"",""แผน!EB21"")"),10)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IFERROR(__xludf.DUMMYFUNCTION("IMPORTRANGE(""https://docs.google.com/spreadsheets/d/1QqKyyYR6Q21VydFLVH3TRQUabQu_ym0Zz7PgGX0-kHA/edit?usp=sharing"",""แผน!EB21"")"),10)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698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IFERROR(__xludf.DUMMYFUNCTION("IMPORTRANGE(""https://docs.google.com/spreadsheets/d/1QqKyyYR6Q21VydFLVH3TRQUabQu_ym0Zz7PgGX0-kHA/edit?usp=sharing"",""แผน!EB21"")"),10)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6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IFERROR(__xludf.DUMMYFUNCTION("IMPORTRANGE(""https://docs.google.com/spreadsheets/d/1MeEWN-I1oV_STSDYn1IFDPWt_1FKiwhDph83XaGc0o0/edit?usp=sharing"",""งบพรบ!DS21"")"),0)</f>
        <v>0</v>
      </c>
      <c r="M303" s="93">
        <f ca="1">IFERROR(__xludf.DUMMYFUNCTION("IMPORTRANGE(""https://docs.google.com/spreadsheets/d/1MeEWN-I1oV_STSDYn1IFDPWt_1FKiwhDph83XaGc0o0/edit?usp=sharing"",""งบพรบ!DX21"")"),0)</f>
        <v>0</v>
      </c>
      <c r="N303" s="93">
        <f ca="1">IFERROR(__xludf.DUMMYFUNCTION("IMPORTRANGE(""https://docs.google.com/spreadsheets/d/1MeEWN-I1oV_STSDYn1IFDPWt_1FKiwhDph83XaGc0o0/edit?usp=sharing"",""งบพรบ!DZ21"")"),0)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IFERROR(__xludf.DUMMYFUNCTION("IMPORTRANGE(""https://docs.google.com/spreadsheets/d/1MeEWN-I1oV_STSDYn1IFDPWt_1FKiwhDph83XaGc0o0/edit?usp=sharing"",""งบพรบ!DV21"")"),0)</f>
        <v>0</v>
      </c>
      <c r="M306" s="93">
        <f ca="1">IFERROR(__xludf.DUMMYFUNCTION("IMPORTRANGE(""https://docs.google.com/spreadsheets/d/1MeEWN-I1oV_STSDYn1IFDPWt_1FKiwhDph83XaGc0o0/edit?usp=sharing"",""งบพรบ!DY21"")"),0)</f>
        <v>0</v>
      </c>
      <c r="N306" s="93">
        <f ca="1">IFERROR(__xludf.DUMMYFUNCTION("IMPORTRANGE(""https://docs.google.com/spreadsheets/d/1MeEWN-I1oV_STSDYn1IFDPWt_1FKiwhDph83XaGc0o0/edit?usp=sharing"",""งบพรบ!EA21"")"),0)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6" t="s">
        <v>38</v>
      </c>
      <c r="E307" s="173"/>
      <c r="F307" s="173"/>
      <c r="G307" s="174"/>
      <c r="H307" s="726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28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28" t="s">
        <v>35</v>
      </c>
      <c r="I309" s="270">
        <f ca="1">IFERROR(__xludf.DUMMYFUNCTION("IMPORTRANGE(""https://docs.google.com/spreadsheets/d/1QqKyyYR6Q21VydFLVH3TRQUabQu_ym0Zz7PgGX0-kHA/edit?usp=sharing"",""แผน!ED21"")"),0)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28" t="s">
        <v>35</v>
      </c>
      <c r="I310" s="270">
        <f ca="1">IFERROR(__xludf.DUMMYFUNCTION("IMPORTRANGE(""https://docs.google.com/spreadsheets/d/1QqKyyYR6Q21VydFLVH3TRQUabQu_ym0Zz7PgGX0-kHA/edit?usp=sharing"",""แผน!ED21"")"),0)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28" t="s">
        <v>35</v>
      </c>
      <c r="I311" s="270">
        <f ca="1">IFERROR(__xludf.DUMMYFUNCTION("IMPORTRANGE(""https://docs.google.com/spreadsheets/d/1QqKyyYR6Q21VydFLVH3TRQUabQu_ym0Zz7PgGX0-kHA/edit?usp=sharing"",""แผน!ED21"")"),0)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28" t="s">
        <v>35</v>
      </c>
      <c r="I312" s="270">
        <f ca="1">IFERROR(__xludf.DUMMYFUNCTION("IMPORTRANGE(""https://docs.google.com/spreadsheets/d/1QqKyyYR6Q21VydFLVH3TRQUabQu_ym0Zz7PgGX0-kHA/edit?usp=sharing"",""แผน!EE21"")"),0)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6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IFERROR(__xludf.DUMMYFUNCTION("IMPORTRANGE(""https://docs.google.com/spreadsheets/d/1MeEWN-I1oV_STSDYn1IFDPWt_1FKiwhDph83XaGc0o0/edit?usp=sharing"",""งบพรบ!EC21"")"),0)</f>
        <v>0</v>
      </c>
      <c r="M320" s="93">
        <f ca="1">IFERROR(__xludf.DUMMYFUNCTION("IMPORTRANGE(""https://docs.google.com/spreadsheets/d/1MeEWN-I1oV_STSDYn1IFDPWt_1FKiwhDph83XaGc0o0/edit?usp=sharing"",""งบพรบ!EH21"")"),0)</f>
        <v>0</v>
      </c>
      <c r="N320" s="93">
        <f ca="1">IFERROR(__xludf.DUMMYFUNCTION("IMPORTRANGE(""https://docs.google.com/spreadsheets/d/1MeEWN-I1oV_STSDYn1IFDPWt_1FKiwhDph83XaGc0o0/edit?usp=sharing"",""งบพรบ!EJ21"")"),0)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IFERROR(__xludf.DUMMYFUNCTION("IMPORTRANGE(""https://docs.google.com/spreadsheets/d/1MeEWN-I1oV_STSDYn1IFDPWt_1FKiwhDph83XaGc0o0/edit?usp=sharing"",""งบพรบ!EF21"")"),0)</f>
        <v>0</v>
      </c>
      <c r="M323" s="93">
        <f ca="1">IFERROR(__xludf.DUMMYFUNCTION("IMPORTRANGE(""https://docs.google.com/spreadsheets/d/1MeEWN-I1oV_STSDYn1IFDPWt_1FKiwhDph83XaGc0o0/edit?usp=sharing"",""งบพรบ!EI21"")"),0)</f>
        <v>0</v>
      </c>
      <c r="N323" s="93">
        <f ca="1">IFERROR(__xludf.DUMMYFUNCTION("IMPORTRANGE(""https://docs.google.com/spreadsheets/d/1MeEWN-I1oV_STSDYn1IFDPWt_1FKiwhDph83XaGc0o0/edit?usp=sharing"",""งบพรบ!EK21"")"),0)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6" t="s">
        <v>38</v>
      </c>
      <c r="E324" s="173"/>
      <c r="F324" s="173"/>
      <c r="G324" s="174"/>
      <c r="H324" s="726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IFERROR(__xludf.DUMMYFUNCTION("IMPORTRANGE(""https://docs.google.com/spreadsheets/d/1QqKyyYR6Q21VydFLVH3TRQUabQu_ym0Zz7PgGX0-kHA/edit?usp=sharing"",""แผน!EF21"")"),0)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IFERROR(__xludf.DUMMYFUNCTION("IMPORTRANGE(""https://docs.google.com/spreadsheets/d/1QqKyyYR6Q21VydFLVH3TRQUabQu_ym0Zz7PgGX0-kHA/edit?usp=sharing"",""แผน!EG21"")"),1000)</f>
        <v>1000</v>
      </c>
      <c r="J327" s="413">
        <f ca="1">J338+J341+J342+J343</f>
        <v>278</v>
      </c>
      <c r="K327" s="414">
        <f ca="1">IF(I327&gt;0,J327*100/I327,0)</f>
        <v>27.8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161000</v>
      </c>
      <c r="M328" s="155">
        <f t="shared" ca="1" si="149"/>
        <v>80500</v>
      </c>
      <c r="N328" s="155">
        <f t="shared" ca="1" si="149"/>
        <v>39306</v>
      </c>
      <c r="O328" s="155">
        <f t="shared" ref="O328:O336" ca="1" si="150">IF(L328&gt;0,N328*100/L328,0)</f>
        <v>24.413664596273293</v>
      </c>
      <c r="P328" s="155">
        <f t="shared" ref="P328:P336" ca="1" si="151">IF(M328&gt;0,N328*100/M328,0)</f>
        <v>48.827329192546586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161000</v>
      </c>
      <c r="M330" s="93">
        <f t="shared" ca="1" si="152"/>
        <v>80500</v>
      </c>
      <c r="N330" s="93">
        <f t="shared" ca="1" si="152"/>
        <v>39306</v>
      </c>
      <c r="O330" s="93">
        <f t="shared" ca="1" si="150"/>
        <v>24.413664596273293</v>
      </c>
      <c r="P330" s="93">
        <f t="shared" ca="1" si="151"/>
        <v>48.827329192546586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6" t="s">
        <v>12</v>
      </c>
      <c r="I331" s="184"/>
      <c r="J331" s="184"/>
      <c r="K331" s="163"/>
      <c r="L331" s="466">
        <f t="shared" ref="L331:N331" ca="1" si="153">L332+L333</f>
        <v>161000</v>
      </c>
      <c r="M331" s="466">
        <f t="shared" ca="1" si="153"/>
        <v>80500</v>
      </c>
      <c r="N331" s="466">
        <f t="shared" ca="1" si="153"/>
        <v>39306</v>
      </c>
      <c r="O331" s="466">
        <f t="shared" ca="1" si="150"/>
        <v>24.413664596273293</v>
      </c>
      <c r="P331" s="466">
        <f t="shared" ca="1" si="151"/>
        <v>48.827329192546586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IFERROR(__xludf.DUMMYFUNCTION("IMPORTRANGE(""https://docs.google.com/spreadsheets/d/1MeEWN-I1oV_STSDYn1IFDPWt_1FKiwhDph83XaGc0o0/edit?usp=sharing"",""งบพรบ!EM21"")"),161000)</f>
        <v>161000</v>
      </c>
      <c r="M333" s="93">
        <f ca="1">IFERROR(__xludf.DUMMYFUNCTION("IMPORTRANGE(""https://docs.google.com/spreadsheets/d/1MeEWN-I1oV_STSDYn1IFDPWt_1FKiwhDph83XaGc0o0/edit?usp=sharing"",""งบพรบ!ER21"")"),80500)</f>
        <v>80500</v>
      </c>
      <c r="N333" s="93">
        <f ca="1">IFERROR(__xludf.DUMMYFUNCTION("IMPORTRANGE(""https://docs.google.com/spreadsheets/d/1MeEWN-I1oV_STSDYn1IFDPWt_1FKiwhDph83XaGc0o0/edit?usp=sharing"",""งบพรบ!ET21"")"),39306)</f>
        <v>39306</v>
      </c>
      <c r="O333" s="93">
        <f t="shared" ca="1" si="150"/>
        <v>24.413664596273293</v>
      </c>
      <c r="P333" s="93">
        <f t="shared" ca="1" si="151"/>
        <v>48.827329192546586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IFERROR(__xludf.DUMMYFUNCTION("IMPORTRANGE(""https://docs.google.com/spreadsheets/d/1MeEWN-I1oV_STSDYn1IFDPWt_1FKiwhDph83XaGc0o0/edit?usp=sharing"",""งบพรบ!EP21"")"),0)</f>
        <v>0</v>
      </c>
      <c r="M336" s="93">
        <f ca="1">IFERROR(__xludf.DUMMYFUNCTION("IMPORTRANGE(""https://docs.google.com/spreadsheets/d/1MeEWN-I1oV_STSDYn1IFDPWt_1FKiwhDph83XaGc0o0/edit?usp=sharing"",""งบพรบ!ES21"")"),0)</f>
        <v>0</v>
      </c>
      <c r="N336" s="93">
        <f ca="1">IFERROR(__xludf.DUMMYFUNCTION("IMPORTRANGE(""https://docs.google.com/spreadsheets/d/1MeEWN-I1oV_STSDYn1IFDPWt_1FKiwhDph83XaGc0o0/edit?usp=sharing"",""งบพรบ!EU21"")"),0)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6" t="s">
        <v>38</v>
      </c>
      <c r="E337" s="173"/>
      <c r="F337" s="173"/>
      <c r="G337" s="174"/>
      <c r="H337" s="726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IFERROR(__xludf.DUMMYFUNCTION("IMPORTRANGE(""https://docs.google.com/spreadsheets/d/1QqKyyYR6Q21VydFLVH3TRQUabQu_ym0Zz7PgGX0-kHA/edit?usp=sharing"",""แผน!EG21"")"),1000)</f>
        <v>1000</v>
      </c>
      <c r="J338" s="270">
        <f ca="1">IFERROR(__xludf.DUMMYFUNCTION("IMPORTRANGE(""https://docs.google.com/spreadsheets/d/1kVcqe37tkHyjCSG3S0O1AXqVkqjo8mSIZil3BcpIysc/edit?usp=sharing"",""ศูนย์!D21"")"),278)</f>
        <v>278</v>
      </c>
      <c r="K338" s="466">
        <f ca="1">IF(I338&gt;0,J338*100/I338,0)</f>
        <v>27.8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IFERROR(__xludf.DUMMYFUNCTION("IMPORTRANGE(""https://docs.google.com/spreadsheets/d/1QqKyyYR6Q21VydFLVH3TRQUabQu_ym0Zz7PgGX0-kHA/edit?usp=sharing"",""แผน!EH21"")"),4)</f>
        <v>4</v>
      </c>
      <c r="J340" s="270">
        <f ca="1">IFERROR(__xludf.DUMMYFUNCTION("IMPORTRANGE(""https://docs.google.com/spreadsheets/d/1kVcqe37tkHyjCSG3S0O1AXqVkqjo8mSIZil3BcpIysc/edit?usp=sharing"",""ศูนย์!E21"")"),0)</f>
        <v>0</v>
      </c>
      <c r="K340" s="466">
        <f ca="1">IF(I340&gt;0,J340*100/I340,0)</f>
        <v>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IFERROR(__xludf.DUMMYFUNCTION("IMPORTRANGE(""https://docs.google.com/spreadsheets/d/1kVcqe37tkHyjCSG3S0O1AXqVkqjo8mSIZil3BcpIysc/edit?usp=sharing"",""ศูนย์!F21"")"),0)</f>
        <v>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IFERROR(__xludf.DUMMYFUNCTION("IMPORTRANGE(""https://docs.google.com/spreadsheets/d/1kVcqe37tkHyjCSG3S0O1AXqVkqjo8mSIZil3BcpIysc/edit?usp=sharing"",""ศูนย์!G21"")"),0)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IFERROR(__xludf.DUMMYFUNCTION("IMPORTRANGE(""https://docs.google.com/spreadsheets/d/1kVcqe37tkHyjCSG3S0O1AXqVkqjo8mSIZil3BcpIysc/edit?usp=sharing"",""ศูนย์!H21"")"),0)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894590</v>
      </c>
      <c r="M345" s="155">
        <f t="shared" ca="1" si="155"/>
        <v>500100</v>
      </c>
      <c r="N345" s="155">
        <f t="shared" ca="1" si="155"/>
        <v>282690.17000000004</v>
      </c>
      <c r="O345" s="155">
        <f t="shared" ref="O345:O353" ca="1" si="156">IF(L345&gt;0,N345*100/L345,0)</f>
        <v>31.599969818576113</v>
      </c>
      <c r="P345" s="155">
        <f t="shared" ref="P345:P353" ca="1" si="157">IF(M345&gt;0,N345*100/M345,0)</f>
        <v>56.526728654269156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894590</v>
      </c>
      <c r="M347" s="93">
        <f t="shared" ca="1" si="158"/>
        <v>500100</v>
      </c>
      <c r="N347" s="93">
        <f t="shared" ca="1" si="158"/>
        <v>282690.17000000004</v>
      </c>
      <c r="O347" s="93">
        <f t="shared" ca="1" si="156"/>
        <v>31.599969818576113</v>
      </c>
      <c r="P347" s="93">
        <f t="shared" ca="1" si="157"/>
        <v>56.526728654269156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6" t="s">
        <v>12</v>
      </c>
      <c r="I348" s="184"/>
      <c r="J348" s="184"/>
      <c r="K348" s="163"/>
      <c r="L348" s="466">
        <f t="shared" ref="L348:N348" ca="1" si="159">L349+L350</f>
        <v>788990</v>
      </c>
      <c r="M348" s="466">
        <f t="shared" ca="1" si="159"/>
        <v>394500</v>
      </c>
      <c r="N348" s="466">
        <f t="shared" ca="1" si="159"/>
        <v>177090.17</v>
      </c>
      <c r="O348" s="466">
        <f t="shared" ca="1" si="156"/>
        <v>22.445172942622847</v>
      </c>
      <c r="P348" s="466">
        <f t="shared" ca="1" si="157"/>
        <v>44.889776932826365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IFERROR(__xludf.DUMMYFUNCTION("IMPORTRANGE(""https://docs.google.com/spreadsheets/d/1MeEWN-I1oV_STSDYn1IFDPWt_1FKiwhDph83XaGc0o0/edit?usp=sharing"",""งบพรบ!EW21"")"),788990)</f>
        <v>788990</v>
      </c>
      <c r="M350" s="93">
        <f ca="1">IFERROR(__xludf.DUMMYFUNCTION("IMPORTRANGE(""https://docs.google.com/spreadsheets/d/1MeEWN-I1oV_STSDYn1IFDPWt_1FKiwhDph83XaGc0o0/edit?usp=sharing"",""งบพรบ!FB21"")"),394500)</f>
        <v>394500</v>
      </c>
      <c r="N350" s="93">
        <f ca="1">IFERROR(__xludf.DUMMYFUNCTION("IMPORTRANGE(""https://docs.google.com/spreadsheets/d/1MeEWN-I1oV_STSDYn1IFDPWt_1FKiwhDph83XaGc0o0/edit?usp=sharing"",""งบพรบ!FD21"")"),177090.17)</f>
        <v>177090.17</v>
      </c>
      <c r="O350" s="93">
        <f t="shared" ca="1" si="156"/>
        <v>22.445172942622847</v>
      </c>
      <c r="P350" s="93">
        <f t="shared" ca="1" si="157"/>
        <v>44.889776932826365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105600</v>
      </c>
      <c r="M351" s="466">
        <f t="shared" ca="1" si="160"/>
        <v>105600</v>
      </c>
      <c r="N351" s="466">
        <f t="shared" ca="1" si="160"/>
        <v>105600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IFERROR(__xludf.DUMMYFUNCTION("IMPORTRANGE(""https://docs.google.com/spreadsheets/d/1MeEWN-I1oV_STSDYn1IFDPWt_1FKiwhDph83XaGc0o0/edit?usp=sharing"",""งบพรบ!EZ21"")"),105600)</f>
        <v>105600</v>
      </c>
      <c r="M353" s="93">
        <f ca="1">IFERROR(__xludf.DUMMYFUNCTION("IMPORTRANGE(""https://docs.google.com/spreadsheets/d/1MeEWN-I1oV_STSDYn1IFDPWt_1FKiwhDph83XaGc0o0/edit?usp=sharing"",""งบพรบ!FC21"")"),105600)</f>
        <v>105600</v>
      </c>
      <c r="N353" s="93">
        <f ca="1">IFERROR(__xludf.DUMMYFUNCTION("IMPORTRANGE(""https://docs.google.com/spreadsheets/d/1MeEWN-I1oV_STSDYn1IFDPWt_1FKiwhDph83XaGc0o0/edit?usp=sharing"",""งบพรบ!FE21"")"),105600)</f>
        <v>105600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IFERROR(__xludf.DUMMYFUNCTION("IMPORTRANGE(""https://docs.google.com/spreadsheets/d/1QqKyyYR6Q21VydFLVH3TRQUabQu_ym0Zz7PgGX0-kHA/edit?usp=sharing"",""แผน!EP21"")"),125)</f>
        <v>125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6" t="s">
        <v>38</v>
      </c>
      <c r="E357" s="173"/>
      <c r="F357" s="173"/>
      <c r="G357" s="174"/>
      <c r="H357" s="726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IFERROR(__xludf.DUMMYFUNCTION("IMPORTRANGE(""https://docs.google.com/spreadsheets/d/1XWAQStnk-4SwqDmLtmXYiTMKHgktTP8We1SCoS47DrQ/edit?usp=sharing"",""จัดที่ดิน!W21"")"),22)</f>
        <v>22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5" t="s">
        <v>46</v>
      </c>
      <c r="I359" s="270">
        <f ca="1">IFERROR(__xludf.DUMMYFUNCTION("IMPORTRANGE(""https://docs.google.com/spreadsheets/d/1QqKyyYR6Q21VydFLVH3TRQUabQu_ym0Zz7PgGX0-kHA/edit?usp=sharing"",""แผน!EO21"")"),1250)</f>
        <v>1250</v>
      </c>
      <c r="J359" s="270">
        <f ca="1">IFERROR(__xludf.DUMMYFUNCTION("IMPORTRANGE(""https://docs.google.com/spreadsheets/d/1XWAQStnk-4SwqDmLtmXYiTMKHgktTP8We1SCoS47DrQ/edit?usp=sharing"",""จัดที่ดิน!X21"")"),156.17)</f>
        <v>156.16999999999999</v>
      </c>
      <c r="K359" s="466">
        <f t="shared" ca="1" si="161"/>
        <v>12.493599999999999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28" t="s">
        <v>35</v>
      </c>
      <c r="I360" s="270">
        <f ca="1">IFERROR(__xludf.DUMMYFUNCTION("IMPORTRANGE(""https://docs.google.com/spreadsheets/d/1QqKyyYR6Q21VydFLVH3TRQUabQu_ym0Zz7PgGX0-kHA/edit?usp=sharing"",""แผน!EP21"")"),125)</f>
        <v>125</v>
      </c>
      <c r="J360" s="270">
        <f ca="1">IFERROR(__xludf.DUMMYFUNCTION("IMPORTRANGE(""https://docs.google.com/spreadsheets/d/1XWAQStnk-4SwqDmLtmXYiTMKHgktTP8We1SCoS47DrQ/edit?usp=sharing"",""จัดที่ดิน!Y21"")"),18)</f>
        <v>18</v>
      </c>
      <c r="K360" s="466">
        <f t="shared" ca="1" si="161"/>
        <v>14.4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2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IFERROR(__xludf.DUMMYFUNCTION("IMPORTRANGE(""https://docs.google.com/spreadsheets/d/1XWAQStnk-4SwqDmLtmXYiTMKHgktTP8We1SCoS47DrQ/edit?usp=sharing"",""จัดที่ดิน!Z21"")"),149.37)</f>
        <v>149.37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28" t="s">
        <v>35</v>
      </c>
      <c r="I362" s="270">
        <f ca="1">IFERROR(__xludf.DUMMYFUNCTION("IMPORTRANGE(""https://docs.google.com/spreadsheets/d/1QqKyyYR6Q21VydFLVH3TRQUabQu_ym0Zz7PgGX0-kHA/edit?usp=sharing"",""แผน!EP21"")"),125)</f>
        <v>125</v>
      </c>
      <c r="J362" s="270">
        <f ca="1">IFERROR(__xludf.DUMMYFUNCTION("IMPORTRANGE(""https://docs.google.com/spreadsheets/d/1XWAQStnk-4SwqDmLtmXYiTMKHgktTP8We1SCoS47DrQ/edit?usp=sharing"",""จัดที่ดิน!AA21"")"),0)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2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IFERROR(__xludf.DUMMYFUNCTION("IMPORTRANGE(""https://docs.google.com/spreadsheets/d/1XWAQStnk-4SwqDmLtmXYiTMKHgktTP8We1SCoS47DrQ/edit?usp=sharing"",""จัดที่ดิน!AB21"")"),0)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425</v>
      </c>
      <c r="J364" s="447">
        <f t="shared" ca="1" si="162"/>
        <v>79</v>
      </c>
      <c r="K364" s="448">
        <f t="shared" ca="1" si="161"/>
        <v>18.588235294117649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IFERROR(__xludf.DUMMYFUNCTION("IMPORTRANGE(""https://docs.google.com/spreadsheets/d/1QqKyyYR6Q21VydFLVH3TRQUabQu_ym0Zz7PgGX0-kHA/edit?usp=sharing"",""แผน!EJ21"")"),5)</f>
        <v>5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6" t="s">
        <v>38</v>
      </c>
      <c r="E367" s="173"/>
      <c r="F367" s="173"/>
      <c r="G367" s="174"/>
      <c r="H367" s="726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IFERROR(__xludf.DUMMYFUNCTION("IMPORTRANGE(""https://docs.google.com/spreadsheets/d/1XWAQStnk-4SwqDmLtmXYiTMKHgktTP8We1SCoS47DrQ/edit?usp=sharing"",""จัดที่ดิน!E21"")"),4)</f>
        <v>4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5" t="s">
        <v>46</v>
      </c>
      <c r="I369" s="270">
        <f ca="1">IFERROR(__xludf.DUMMYFUNCTION("IMPORTRANGE(""https://docs.google.com/spreadsheets/d/1QqKyyYR6Q21VydFLVH3TRQUabQu_ym0Zz7PgGX0-kHA/edit?usp=sharing"",""แผน!EI21"")"),50)</f>
        <v>50</v>
      </c>
      <c r="J369" s="270">
        <f ca="1">IFERROR(__xludf.DUMMYFUNCTION("IMPORTRANGE(""https://docs.google.com/spreadsheets/d/1XWAQStnk-4SwqDmLtmXYiTMKHgktTP8We1SCoS47DrQ/edit?usp=sharing"",""จัดที่ดิน!F21"")"),6.8)</f>
        <v>6.8</v>
      </c>
      <c r="K369" s="466">
        <f t="shared" ca="1" si="163"/>
        <v>13.6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28" t="s">
        <v>35</v>
      </c>
      <c r="I370" s="270">
        <f ca="1">IFERROR(__xludf.DUMMYFUNCTION("IMPORTRANGE(""https://docs.google.com/spreadsheets/d/1QqKyyYR6Q21VydFLVH3TRQUabQu_ym0Zz7PgGX0-kHA/edit?usp=sharing"",""แผน!EJ21"")"),5)</f>
        <v>5</v>
      </c>
      <c r="J370" s="270">
        <f ca="1">IFERROR(__xludf.DUMMYFUNCTION("IMPORTRANGE(""https://docs.google.com/spreadsheets/d/1XWAQStnk-4SwqDmLtmXYiTMKHgktTP8We1SCoS47DrQ/edit?usp=sharing"",""จัดที่ดิน!G21"")"),0)</f>
        <v>0</v>
      </c>
      <c r="K370" s="46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2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IFERROR(__xludf.DUMMYFUNCTION("IMPORTRANGE(""https://docs.google.com/spreadsheets/d/1XWAQStnk-4SwqDmLtmXYiTMKHgktTP8We1SCoS47DrQ/edit?usp=sharing"",""จัดที่ดิน!H21"")"),0)</f>
        <v>0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28" t="s">
        <v>35</v>
      </c>
      <c r="I372" s="270">
        <f ca="1">IFERROR(__xludf.DUMMYFUNCTION("IMPORTRANGE(""https://docs.google.com/spreadsheets/d/1QqKyyYR6Q21VydFLVH3TRQUabQu_ym0Zz7PgGX0-kHA/edit?usp=sharing"",""แผน!EJ21"")"),5)</f>
        <v>5</v>
      </c>
      <c r="J372" s="270">
        <f ca="1">IFERROR(__xludf.DUMMYFUNCTION("IMPORTRANGE(""https://docs.google.com/spreadsheets/d/1XWAQStnk-4SwqDmLtmXYiTMKHgktTP8We1SCoS47DrQ/edit?usp=sharing"",""จัดที่ดิน!I21"")"),0)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2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IFERROR(__xludf.DUMMYFUNCTION("IMPORTRANGE(""https://docs.google.com/spreadsheets/d/1XWAQStnk-4SwqDmLtmXYiTMKHgktTP8We1SCoS47DrQ/edit?usp=sharing"",""จัดที่ดิน!J21"")"),0)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IFERROR(__xludf.DUMMYFUNCTION("IMPORTRANGE(""https://docs.google.com/spreadsheets/d/1QqKyyYR6Q21VydFLVH3TRQUabQu_ym0Zz7PgGX0-kHA/edit?usp=sharing"",""แผน!EU21"")"),420)</f>
        <v>420</v>
      </c>
      <c r="J374" s="459">
        <f ca="1">J381</f>
        <v>79</v>
      </c>
      <c r="K374" s="460">
        <f t="shared" ca="1" si="163"/>
        <v>18.80952380952381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6" t="s">
        <v>38</v>
      </c>
      <c r="E376" s="173"/>
      <c r="F376" s="173"/>
      <c r="G376" s="174"/>
      <c r="H376" s="726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IFERROR(__xludf.DUMMYFUNCTION("IMPORTRANGE(""https://docs.google.com/spreadsheets/d/1XWAQStnk-4SwqDmLtmXYiTMKHgktTP8We1SCoS47DrQ/edit?usp=sharing"",""จัดที่ดิน!AH21"")"),18)</f>
        <v>18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5" t="s">
        <v>46</v>
      </c>
      <c r="I378" s="270">
        <f ca="1">IFERROR(__xludf.DUMMYFUNCTION("IMPORTRANGE(""https://docs.google.com/spreadsheets/d/1QqKyyYR6Q21VydFLVH3TRQUabQu_ym0Zz7PgGX0-kHA/edit?usp=sharing"",""แผน!ET21"")"),1200)</f>
        <v>1200</v>
      </c>
      <c r="J378" s="270">
        <f ca="1">IFERROR(__xludf.DUMMYFUNCTION("IMPORTRANGE(""https://docs.google.com/spreadsheets/d/1XWAQStnk-4SwqDmLtmXYiTMKHgktTP8We1SCoS47DrQ/edit?usp=sharing"",""จัดที่ดิน!AI21"")"),149.37)</f>
        <v>149.37</v>
      </c>
      <c r="K378" s="466">
        <f t="shared" ca="1" si="164"/>
        <v>12.4475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28" t="s">
        <v>35</v>
      </c>
      <c r="I379" s="270">
        <f ca="1">IFERROR(__xludf.DUMMYFUNCTION("IMPORTRANGE(""https://docs.google.com/spreadsheets/d/1QqKyyYR6Q21VydFLVH3TRQUabQu_ym0Zz7PgGX0-kHA/edit?usp=sharing"",""แผน!EU21"")"),420)</f>
        <v>420</v>
      </c>
      <c r="J379" s="270">
        <f ca="1">IFERROR(__xludf.DUMMYFUNCTION("IMPORTRANGE(""https://docs.google.com/spreadsheets/d/1XWAQStnk-4SwqDmLtmXYiTMKHgktTP8We1SCoS47DrQ/edit?usp=sharing"",""จัดที่ดิน!AJ21"")"),100)</f>
        <v>100</v>
      </c>
      <c r="K379" s="466">
        <f t="shared" ca="1" si="164"/>
        <v>23.80952380952381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2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IFERROR(__xludf.DUMMYFUNCTION("IMPORTRANGE(""https://docs.google.com/spreadsheets/d/1XWAQStnk-4SwqDmLtmXYiTMKHgktTP8We1SCoS47DrQ/edit?usp=sharing"",""จัดที่ดิน!AK21"")"),1491.92)</f>
        <v>1491.92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28" t="s">
        <v>35</v>
      </c>
      <c r="I381" s="270">
        <f ca="1">IFERROR(__xludf.DUMMYFUNCTION("IMPORTRANGE(""https://docs.google.com/spreadsheets/d/1QqKyyYR6Q21VydFLVH3TRQUabQu_ym0Zz7PgGX0-kHA/edit?usp=sharing"",""แผน!EU21"")"),420)</f>
        <v>420</v>
      </c>
      <c r="J381" s="270">
        <f ca="1">IFERROR(__xludf.DUMMYFUNCTION("IMPORTRANGE(""https://docs.google.com/spreadsheets/d/1XWAQStnk-4SwqDmLtmXYiTMKHgktTP8We1SCoS47DrQ/edit?usp=sharing"",""จัดที่ดิน!AL21"")"),79)</f>
        <v>79</v>
      </c>
      <c r="K381" s="466">
        <f t="shared" ca="1" si="164"/>
        <v>18.80952380952381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2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IFERROR(__xludf.DUMMYFUNCTION("IMPORTRANGE(""https://docs.google.com/spreadsheets/d/1XWAQStnk-4SwqDmLtmXYiTMKHgktTP8We1SCoS47DrQ/edit?usp=sharing"",""จัดที่ดิน!AM21"")"),1286.06)</f>
        <v>1286.06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6" t="s">
        <v>38</v>
      </c>
      <c r="E384" s="173"/>
      <c r="F384" s="173"/>
      <c r="G384" s="174"/>
      <c r="H384" s="726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IFERROR(__xludf.DUMMYFUNCTION("IMPORTRANGE(""https://docs.google.com/spreadsheets/d/1QqKyyYR6Q21VydFLVH3TRQUabQu_ym0Zz7PgGX0-kHA/edit?usp=sharing"",""แผน!EW21"")"),30)</f>
        <v>30</v>
      </c>
      <c r="J385" s="469">
        <f ca="1">IFERROR(__xludf.DUMMYFUNCTION("IMPORTRANGE(""https://docs.google.com/spreadsheets/d/1XWAQStnk-4SwqDmLtmXYiTMKHgktTP8We1SCoS47DrQ/edit?usp=sharing"",""จัดที่ดิน!AP21"")"),7)</f>
        <v>7</v>
      </c>
      <c r="K385" s="470">
        <f ca="1">IF(I385&gt;0,J385*100/I385,0)</f>
        <v>23.333333333333332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3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6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IFERROR(__xludf.DUMMYFUNCTION("IMPORTRANGE(""https://docs.google.com/spreadsheets/d/1MeEWN-I1oV_STSDYn1IFDPWt_1FKiwhDph83XaGc0o0/edit?usp=sharing"",""งบพรบ!FG21"")"),0)</f>
        <v>0</v>
      </c>
      <c r="M394" s="93">
        <f ca="1">IFERROR(__xludf.DUMMYFUNCTION("IMPORTRANGE(""https://docs.google.com/spreadsheets/d/1MeEWN-I1oV_STSDYn1IFDPWt_1FKiwhDph83XaGc0o0/edit?usp=sharing"",""งบพรบ!FL21"")"),0)</f>
        <v>0</v>
      </c>
      <c r="N394" s="93">
        <f ca="1">IFERROR(__xludf.DUMMYFUNCTION("IMPORTRANGE(""https://docs.google.com/spreadsheets/d/1MeEWN-I1oV_STSDYn1IFDPWt_1FKiwhDph83XaGc0o0/edit?usp=sharing"",""งบพรบ!FN21"")"),0)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IFERROR(__xludf.DUMMYFUNCTION("IMPORTRANGE(""https://docs.google.com/spreadsheets/d/1MeEWN-I1oV_STSDYn1IFDPWt_1FKiwhDph83XaGc0o0/edit?usp=sharing"",""งบพรบ!FJ21"")"),0)</f>
        <v>0</v>
      </c>
      <c r="M397" s="93">
        <f ca="1">IFERROR(__xludf.DUMMYFUNCTION("IMPORTRANGE(""https://docs.google.com/spreadsheets/d/1MeEWN-I1oV_STSDYn1IFDPWt_1FKiwhDph83XaGc0o0/edit?usp=sharing"",""งบพรบ!FM21"")"),0)</f>
        <v>0</v>
      </c>
      <c r="N397" s="93">
        <f ca="1">IFERROR(__xludf.DUMMYFUNCTION("IMPORTRANGE(""https://docs.google.com/spreadsheets/d/1MeEWN-I1oV_STSDYn1IFDPWt_1FKiwhDph83XaGc0o0/edit?usp=sharing"",""งบพรบ!FO21"")"),0)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6" t="s">
        <v>38</v>
      </c>
      <c r="E398" s="173"/>
      <c r="F398" s="173"/>
      <c r="G398" s="174"/>
      <c r="H398" s="726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3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6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IFERROR(__xludf.DUMMYFUNCTION("IMPORTRANGE(""https://docs.google.com/spreadsheets/d/1MeEWN-I1oV_STSDYn1IFDPWt_1FKiwhDph83XaGc0o0/edit?usp=sharing"",""งบพรบ!FQ21"")"),0)</f>
        <v>0</v>
      </c>
      <c r="M407" s="93">
        <f ca="1">IFERROR(__xludf.DUMMYFUNCTION("IMPORTRANGE(""https://docs.google.com/spreadsheets/d/1MeEWN-I1oV_STSDYn1IFDPWt_1FKiwhDph83XaGc0o0/edit?usp=sharing"",""งบพรบ!FV21"")"),0)</f>
        <v>0</v>
      </c>
      <c r="N407" s="93">
        <f ca="1">IFERROR(__xludf.DUMMYFUNCTION("IMPORTRANGE(""https://docs.google.com/spreadsheets/d/1MeEWN-I1oV_STSDYn1IFDPWt_1FKiwhDph83XaGc0o0/edit?usp=sharing"",""งบพรบ!FX21"")"),0)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IFERROR(__xludf.DUMMYFUNCTION("IMPORTRANGE(""https://docs.google.com/spreadsheets/d/1MeEWN-I1oV_STSDYn1IFDPWt_1FKiwhDph83XaGc0o0/edit?usp=sharing"",""งบพรบ!FT21"")"),0)</f>
        <v>0</v>
      </c>
      <c r="M410" s="93">
        <f ca="1">IFERROR(__xludf.DUMMYFUNCTION("IMPORTRANGE(""https://docs.google.com/spreadsheets/d/1MeEWN-I1oV_STSDYn1IFDPWt_1FKiwhDph83XaGc0o0/edit?usp=sharing"",""งบพรบ!FW21"")"),0)</f>
        <v>0</v>
      </c>
      <c r="N410" s="93">
        <f ca="1">IFERROR(__xludf.DUMMYFUNCTION("IMPORTRANGE(""https://docs.google.com/spreadsheets/d/1MeEWN-I1oV_STSDYn1IFDPWt_1FKiwhDph83XaGc0o0/edit?usp=sharing"",""งบพรบ!FY21"")"),0)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4" t="s">
        <v>38</v>
      </c>
      <c r="E411" s="499"/>
      <c r="F411" s="499"/>
      <c r="G411" s="500"/>
      <c r="H411" s="726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1573084</v>
      </c>
      <c r="M414" s="517">
        <f t="shared" si="181"/>
        <v>0</v>
      </c>
      <c r="N414" s="517">
        <f t="shared" si="181"/>
        <v>129885.02</v>
      </c>
      <c r="O414" s="517">
        <f ca="1">IF(L414&gt;0,N414*100/L414,0)</f>
        <v>8.256712292541275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865" t="s">
        <v>17</v>
      </c>
      <c r="E419" s="806"/>
      <c r="F419" s="806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6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0</v>
      </c>
      <c r="O422" s="466">
        <f t="shared" ca="1" si="185"/>
        <v>0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IFERROR(__xludf.DUMMYFUNCTION("IMPORTRANGE(""https://docs.google.com/spreadsheets/d/1QqKyyYR6Q21VydFLVH3TRQUabQu_ym0Zz7PgGX0-kHA/edit?usp=sharing"",""แผน!EY21"")"),78660)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27"/>
      <c r="D425" s="727"/>
      <c r="E425" s="727"/>
      <c r="F425" s="727" t="s">
        <v>186</v>
      </c>
      <c r="G425" s="189"/>
      <c r="H425" s="776" t="s">
        <v>12</v>
      </c>
      <c r="I425" s="270"/>
      <c r="J425" s="270"/>
      <c r="K425" s="466"/>
      <c r="L425" s="466"/>
      <c r="M425" s="466"/>
      <c r="N425" s="798">
        <v>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27"/>
      <c r="D426" s="727"/>
      <c r="E426" s="727"/>
      <c r="F426" s="727" t="s">
        <v>187</v>
      </c>
      <c r="G426" s="189"/>
      <c r="H426" s="776" t="s">
        <v>12</v>
      </c>
      <c r="I426" s="270"/>
      <c r="J426" s="270"/>
      <c r="K426" s="466"/>
      <c r="L426" s="466"/>
      <c r="M426" s="466"/>
      <c r="N426" s="798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27"/>
      <c r="D427" s="727"/>
      <c r="E427" s="727"/>
      <c r="F427" s="727" t="s">
        <v>188</v>
      </c>
      <c r="G427" s="189"/>
      <c r="H427" s="776" t="s">
        <v>12</v>
      </c>
      <c r="I427" s="270"/>
      <c r="J427" s="270"/>
      <c r="K427" s="466"/>
      <c r="L427" s="466"/>
      <c r="M427" s="466"/>
      <c r="N427" s="798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6" t="s">
        <v>12</v>
      </c>
      <c r="I428" s="270"/>
      <c r="J428" s="270"/>
      <c r="K428" s="466"/>
      <c r="L428" s="466"/>
      <c r="M428" s="466"/>
      <c r="N428" s="798">
        <v>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7">
        <f t="shared" ref="I434:J434" ca="1" si="193">I438+I440</f>
        <v>1</v>
      </c>
      <c r="J434" s="647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IFERROR(__xludf.DUMMYFUNCTION("IMPORTRANGE(""https://docs.google.com/spreadsheets/d/1QqKyyYR6Q21VydFLVH3TRQUabQu_ym0Zz7PgGX0-kHA/edit?usp=sharing"",""แผน!FC21"")"),20)</f>
        <v>20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IFERROR(__xludf.DUMMYFUNCTION("IMPORTRANGE(""https://docs.google.com/spreadsheets/d/1QqKyyYR6Q21VydFLVH3TRQUabQu_ym0Zz7PgGX0-kHA/edit?usp=sharing"",""แผน!FD21"")"),0)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IFERROR(__xludf.DUMMYFUNCTION("IMPORTRANGE(""https://docs.google.com/spreadsheets/d/1QqKyyYR6Q21VydFLVH3TRQUabQu_ym0Zz7PgGX0-kHA/edit?usp=sharing"",""แผน!FE21"")"),0)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IFERROR(__xludf.DUMMYFUNCTION("IMPORTRANGE(""https://docs.google.com/spreadsheets/d/1QqKyyYR6Q21VydFLVH3TRQUabQu_ym0Zz7PgGX0-kHA/edit?usp=sharing"",""แผน!FF21"")"),20)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IFERROR(__xludf.DUMMYFUNCTION("IMPORTRANGE(""https://docs.google.com/spreadsheets/d/1QqKyyYR6Q21VydFLVH3TRQUabQu_ym0Zz7PgGX0-kHA/edit?usp=sharing"",""แผน!FG21"")"),1)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IFERROR(__xludf.DUMMYFUNCTION("IMPORTRANGE(""https://docs.google.com/spreadsheets/d/1QqKyyYR6Q21VydFLVH3TRQUabQu_ym0Zz7PgGX0-kHA/edit?usp=sharing"",""แผน!FH21"")"),0)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55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110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27"/>
      <c r="C444" s="727" t="s">
        <v>16</v>
      </c>
      <c r="D444" s="803" t="s">
        <v>17</v>
      </c>
      <c r="E444" s="804"/>
      <c r="F444" s="804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382500</v>
      </c>
      <c r="M444" s="195">
        <f t="shared" si="197"/>
        <v>0</v>
      </c>
      <c r="N444" s="195">
        <f t="shared" si="197"/>
        <v>25100.02</v>
      </c>
      <c r="O444" s="195">
        <f t="shared" ref="O444:O449" ca="1" si="198">IF(L444&gt;0,N444*100/L444,0)</f>
        <v>6.5620967320261441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3"/>
      <c r="C445" s="723"/>
      <c r="D445" s="684"/>
      <c r="E445" s="723" t="s">
        <v>184</v>
      </c>
      <c r="F445" s="723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3"/>
      <c r="D446" s="684"/>
      <c r="E446" s="723" t="s">
        <v>185</v>
      </c>
      <c r="F446" s="723"/>
      <c r="G446" s="568"/>
      <c r="H446" s="165" t="s">
        <v>12</v>
      </c>
      <c r="I446" s="584"/>
      <c r="J446" s="584"/>
      <c r="K446" s="93"/>
      <c r="L446" s="93">
        <f t="shared" ca="1" si="200"/>
        <v>382500</v>
      </c>
      <c r="M446" s="93">
        <f t="shared" si="200"/>
        <v>0</v>
      </c>
      <c r="N446" s="93">
        <f t="shared" si="200"/>
        <v>25100.02</v>
      </c>
      <c r="O446" s="93">
        <f t="shared" ca="1" si="198"/>
        <v>6.5620967320261441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27"/>
      <c r="D447" s="571" t="s">
        <v>20</v>
      </c>
      <c r="E447" s="727"/>
      <c r="F447" s="727"/>
      <c r="G447" s="189"/>
      <c r="H447" s="776" t="s">
        <v>12</v>
      </c>
      <c r="I447" s="184"/>
      <c r="J447" s="184"/>
      <c r="K447" s="163"/>
      <c r="L447" s="466">
        <f t="shared" ref="L447:N447" ca="1" si="201">L448+L449</f>
        <v>382500</v>
      </c>
      <c r="M447" s="466">
        <f t="shared" si="201"/>
        <v>0</v>
      </c>
      <c r="N447" s="466">
        <f t="shared" si="201"/>
        <v>25100.02</v>
      </c>
      <c r="O447" s="466">
        <f t="shared" ca="1" si="198"/>
        <v>6.5620967320261441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3"/>
      <c r="D448" s="684"/>
      <c r="E448" s="723" t="s">
        <v>184</v>
      </c>
      <c r="F448" s="723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3"/>
      <c r="D449" s="684"/>
      <c r="E449" s="723" t="s">
        <v>185</v>
      </c>
      <c r="F449" s="723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IFERROR(__xludf.DUMMYFUNCTION("IMPORTRANGE(""https://docs.google.com/spreadsheets/d/1QqKyyYR6Q21VydFLVH3TRQUabQu_ym0Zz7PgGX0-kHA/edit?usp=sharing"",""แผน!FJ21"")"),382500)</f>
        <v>382500</v>
      </c>
      <c r="M449" s="93">
        <v>0</v>
      </c>
      <c r="N449" s="93">
        <f>N450+N451+N452+N453</f>
        <v>25100.02</v>
      </c>
      <c r="O449" s="93">
        <f t="shared" ca="1" si="198"/>
        <v>6.5620967320261441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27"/>
      <c r="D450" s="727"/>
      <c r="E450" s="727"/>
      <c r="F450" s="727" t="s">
        <v>186</v>
      </c>
      <c r="G450" s="189"/>
      <c r="H450" s="776" t="s">
        <v>12</v>
      </c>
      <c r="I450" s="270"/>
      <c r="J450" s="270"/>
      <c r="K450" s="466"/>
      <c r="L450" s="466"/>
      <c r="M450" s="466"/>
      <c r="N450" s="798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27"/>
      <c r="D451" s="727"/>
      <c r="E451" s="727"/>
      <c r="F451" s="727" t="s">
        <v>187</v>
      </c>
      <c r="G451" s="189"/>
      <c r="H451" s="776" t="s">
        <v>12</v>
      </c>
      <c r="I451" s="270"/>
      <c r="J451" s="270"/>
      <c r="K451" s="466"/>
      <c r="L451" s="466"/>
      <c r="M451" s="466"/>
      <c r="N451" s="798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27" t="s">
        <v>188</v>
      </c>
      <c r="G452" s="189"/>
      <c r="H452" s="776" t="s">
        <v>12</v>
      </c>
      <c r="I452" s="270"/>
      <c r="J452" s="270"/>
      <c r="K452" s="466"/>
      <c r="L452" s="466"/>
      <c r="M452" s="466"/>
      <c r="N452" s="798">
        <v>25100.02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27" t="s">
        <v>189</v>
      </c>
      <c r="G453" s="189"/>
      <c r="H453" s="776" t="s">
        <v>12</v>
      </c>
      <c r="I453" s="270"/>
      <c r="J453" s="270"/>
      <c r="K453" s="466"/>
      <c r="L453" s="466"/>
      <c r="M453" s="466"/>
      <c r="N453" s="798">
        <v>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27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3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3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67" t="s">
        <v>38</v>
      </c>
      <c r="E457" s="576"/>
      <c r="F457" s="725"/>
      <c r="G457" s="578"/>
      <c r="H457" s="726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4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4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6"/>
      <c r="H460" s="728" t="s">
        <v>35</v>
      </c>
      <c r="I460" s="270">
        <f ca="1">IFERROR(__xludf.DUMMYFUNCTION("IMPORTRANGE(""https://docs.google.com/spreadsheets/d/1QqKyyYR6Q21VydFLVH3TRQUabQu_ym0Zz7PgGX0-kHA/edit?usp=sharing"",""แผน!FN21"")"),55)</f>
        <v>55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6"/>
      <c r="H461" s="728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6"/>
      <c r="H462" s="728" t="s">
        <v>46</v>
      </c>
      <c r="I462" s="270">
        <f ca="1">IFERROR(__xludf.DUMMYFUNCTION("IMPORTRANGE(""https://docs.google.com/spreadsheets/d/1QqKyyYR6Q21VydFLVH3TRQUabQu_ym0Zz7PgGX0-kHA/edit?usp=sharing"",""แผน!FO21"")"),110)</f>
        <v>110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27"/>
      <c r="G463" s="189"/>
      <c r="H463" s="728" t="s">
        <v>46</v>
      </c>
      <c r="I463" s="270">
        <f ca="1">IFERROR(__xludf.DUMMYFUNCTION("IMPORTRANGE(""https://docs.google.com/spreadsheets/d/1QqKyyYR6Q21VydFLVH3TRQUabQu_ym0Zz7PgGX0-kHA/edit?usp=sharing"",""แผน!FO21"")"),110)</f>
        <v>110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28" t="s">
        <v>35</v>
      </c>
      <c r="I464" s="270">
        <f ca="1">IFERROR(__xludf.DUMMYFUNCTION("IMPORTRANGE(""https://docs.google.com/spreadsheets/d/1QqKyyYR6Q21VydFLVH3TRQUabQu_ym0Zz7PgGX0-kHA/edit?usp=sharing"",""แผน!FN21"")"),55)</f>
        <v>55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IFERROR(__xludf.DUMMYFUNCTION("IMPORTRANGE(""https://docs.google.com/spreadsheets/d/1QqKyyYR6Q21VydFLVH3TRQUabQu_ym0Zz7PgGX0-kHA/edit?usp=sharing"",""แผน!FX21"")"),31)</f>
        <v>31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IFERROR(__xludf.DUMMYFUNCTION("IMPORTRANGE(""https://docs.google.com/spreadsheets/d/1QqKyyYR6Q21VydFLVH3TRQUabQu_ym0Zz7PgGX0-kHA/edit?usp=sharing"",""แผน!FW21"")"),300)</f>
        <v>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27"/>
      <c r="C467" s="727" t="s">
        <v>16</v>
      </c>
      <c r="D467" s="803" t="s">
        <v>17</v>
      </c>
      <c r="E467" s="804"/>
      <c r="F467" s="804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256863</v>
      </c>
      <c r="M467" s="195">
        <f t="shared" si="206"/>
        <v>0</v>
      </c>
      <c r="N467" s="195">
        <f t="shared" si="206"/>
        <v>13080</v>
      </c>
      <c r="O467" s="195">
        <f t="shared" ref="O467:O472" ca="1" si="207">IF(L467&gt;0,N467*100/L467,0)</f>
        <v>5.0922086871211505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3"/>
      <c r="C468" s="723"/>
      <c r="D468" s="684"/>
      <c r="E468" s="723" t="s">
        <v>184</v>
      </c>
      <c r="F468" s="723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3"/>
      <c r="D469" s="684"/>
      <c r="E469" s="723" t="s">
        <v>185</v>
      </c>
      <c r="F469" s="723"/>
      <c r="G469" s="568"/>
      <c r="H469" s="165" t="s">
        <v>12</v>
      </c>
      <c r="I469" s="584"/>
      <c r="J469" s="584"/>
      <c r="K469" s="93"/>
      <c r="L469" s="93">
        <f t="shared" ca="1" si="209"/>
        <v>256863</v>
      </c>
      <c r="M469" s="93">
        <f t="shared" si="209"/>
        <v>0</v>
      </c>
      <c r="N469" s="93">
        <f t="shared" si="209"/>
        <v>13080</v>
      </c>
      <c r="O469" s="93">
        <f t="shared" ca="1" si="207"/>
        <v>5.0922086871211505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27"/>
      <c r="D470" s="571" t="s">
        <v>20</v>
      </c>
      <c r="E470" s="727"/>
      <c r="F470" s="727"/>
      <c r="G470" s="189"/>
      <c r="H470" s="776" t="s">
        <v>12</v>
      </c>
      <c r="I470" s="184"/>
      <c r="J470" s="184"/>
      <c r="K470" s="163"/>
      <c r="L470" s="466">
        <f t="shared" ref="L470:N470" ca="1" si="210">L471+L472</f>
        <v>256863</v>
      </c>
      <c r="M470" s="466">
        <f t="shared" si="210"/>
        <v>0</v>
      </c>
      <c r="N470" s="466">
        <f t="shared" si="210"/>
        <v>13080</v>
      </c>
      <c r="O470" s="466">
        <f t="shared" ca="1" si="207"/>
        <v>5.0922086871211505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3"/>
      <c r="D471" s="684"/>
      <c r="E471" s="723" t="s">
        <v>184</v>
      </c>
      <c r="F471" s="723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3"/>
      <c r="D472" s="684"/>
      <c r="E472" s="723" t="s">
        <v>185</v>
      </c>
      <c r="F472" s="723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IFERROR(__xludf.DUMMYFUNCTION("IMPORTRANGE(""https://docs.google.com/spreadsheets/d/1QqKyyYR6Q21VydFLVH3TRQUabQu_ym0Zz7PgGX0-kHA/edit?usp=sharing"",""แผน!FS21"")"),256863)</f>
        <v>256863</v>
      </c>
      <c r="M472" s="93">
        <v>0</v>
      </c>
      <c r="N472" s="93">
        <f>N473+N474+N475+N476</f>
        <v>13080</v>
      </c>
      <c r="O472" s="93">
        <f t="shared" ca="1" si="207"/>
        <v>5.0922086871211505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27"/>
      <c r="D473" s="727"/>
      <c r="E473" s="727"/>
      <c r="F473" s="727" t="s">
        <v>186</v>
      </c>
      <c r="G473" s="189"/>
      <c r="H473" s="776" t="s">
        <v>12</v>
      </c>
      <c r="I473" s="270"/>
      <c r="J473" s="270"/>
      <c r="K473" s="466"/>
      <c r="L473" s="466"/>
      <c r="M473" s="466"/>
      <c r="N473" s="798">
        <v>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27"/>
      <c r="D474" s="727"/>
      <c r="E474" s="727"/>
      <c r="F474" s="727" t="s">
        <v>187</v>
      </c>
      <c r="G474" s="189"/>
      <c r="H474" s="776" t="s">
        <v>12</v>
      </c>
      <c r="I474" s="270"/>
      <c r="J474" s="270"/>
      <c r="K474" s="466"/>
      <c r="L474" s="466"/>
      <c r="M474" s="466"/>
      <c r="N474" s="798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27" t="s">
        <v>188</v>
      </c>
      <c r="G475" s="189"/>
      <c r="H475" s="776" t="s">
        <v>12</v>
      </c>
      <c r="I475" s="270"/>
      <c r="J475" s="270"/>
      <c r="K475" s="466"/>
      <c r="L475" s="466"/>
      <c r="M475" s="466"/>
      <c r="N475" s="798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27" t="s">
        <v>189</v>
      </c>
      <c r="G476" s="189"/>
      <c r="H476" s="776" t="s">
        <v>12</v>
      </c>
      <c r="I476" s="270"/>
      <c r="J476" s="270"/>
      <c r="K476" s="466"/>
      <c r="L476" s="466"/>
      <c r="M476" s="466"/>
      <c r="N476" s="798">
        <v>13080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68" t="s">
        <v>38</v>
      </c>
      <c r="E480" s="576"/>
      <c r="F480" s="725"/>
      <c r="G480" s="578"/>
      <c r="H480" s="726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6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6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6"/>
      <c r="H483" s="590" t="s">
        <v>46</v>
      </c>
      <c r="I483" s="270">
        <f ca="1">IFERROR(__xludf.DUMMYFUNCTION("IMPORTRANGE(""https://docs.google.com/spreadsheets/d/1QqKyyYR6Q21VydFLVH3TRQUabQu_ym0Zz7PgGX0-kHA/edit?usp=sharing"",""แผน!FY21"")"),270)</f>
        <v>270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6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6"/>
      <c r="H485" s="590" t="s">
        <v>35</v>
      </c>
      <c r="I485" s="270">
        <f ca="1">IFERROR(__xludf.DUMMYFUNCTION("IMPORTRANGE(""https://docs.google.com/spreadsheets/d/1QqKyyYR6Q21VydFLVH3TRQUabQu_ym0Zz7PgGX0-kHA/edit?usp=sharing"",""แผน!FZ21"")"),27)</f>
        <v>27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6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6"/>
      <c r="H487" s="590" t="s">
        <v>46</v>
      </c>
      <c r="I487" s="270">
        <f ca="1">IFERROR(__xludf.DUMMYFUNCTION("IMPORTRANGE(""https://docs.google.com/spreadsheets/d/1QqKyyYR6Q21VydFLVH3TRQUabQu_ym0Zz7PgGX0-kHA/edit?usp=sharing"",""แผน!GA21"")"),30)</f>
        <v>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6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6"/>
      <c r="H489" s="590" t="s">
        <v>35</v>
      </c>
      <c r="I489" s="270">
        <f ca="1">IFERROR(__xludf.DUMMYFUNCTION("IMPORTRANGE(""https://docs.google.com/spreadsheets/d/1QqKyyYR6Q21VydFLVH3TRQUabQu_ym0Zz7PgGX0-kHA/edit?usp=sharing"",""แผน!GB21"")"),3)</f>
        <v>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6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6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6"/>
      <c r="H492" s="590" t="s">
        <v>35</v>
      </c>
      <c r="I492" s="270">
        <f ca="1">IFERROR(__xludf.DUMMYFUNCTION("IMPORTRANGE(""https://docs.google.com/spreadsheets/d/1QqKyyYR6Q21VydFLVH3TRQUabQu_ym0Zz7PgGX0-kHA/edit?usp=sharing"",""แผน!GC21"")"),1)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6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6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6"/>
      <c r="H495" s="590" t="s">
        <v>46</v>
      </c>
      <c r="I495" s="270">
        <f ca="1">IFERROR(__xludf.DUMMYFUNCTION("IMPORTRANGE(""https://docs.google.com/spreadsheets/d/1QqKyyYR6Q21VydFLVH3TRQUabQu_ym0Zz7PgGX0-kHA/edit?usp=sharing"",""แผน!FY21"")"),270)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6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6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6"/>
      <c r="H498" s="590" t="s">
        <v>46</v>
      </c>
      <c r="I498" s="270">
        <f ca="1">IFERROR(__xludf.DUMMYFUNCTION("IMPORTRANGE(""https://docs.google.com/spreadsheets/d/1QqKyyYR6Q21VydFLVH3TRQUabQu_ym0Zz7PgGX0-kHA/edit?usp=sharing"",""แผน!GA21"")"),30)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6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3"/>
      <c r="C502" s="723" t="s">
        <v>16</v>
      </c>
      <c r="D502" s="808" t="s">
        <v>17</v>
      </c>
      <c r="E502" s="804"/>
      <c r="F502" s="804"/>
      <c r="G502" s="568"/>
      <c r="H502" s="612" t="s">
        <v>12</v>
      </c>
      <c r="I502" s="584"/>
      <c r="J502" s="584"/>
      <c r="K502" s="93"/>
      <c r="L502" s="613">
        <f t="shared" ref="L502:N502" si="216">L503+L504</f>
        <v>0</v>
      </c>
      <c r="M502" s="613">
        <f t="shared" si="216"/>
        <v>0</v>
      </c>
      <c r="N502" s="613">
        <f t="shared" si="216"/>
        <v>0</v>
      </c>
      <c r="O502" s="613">
        <f t="shared" ref="O502:O507" si="217">IF(L502&gt;0,N502*100/L502,0)</f>
        <v>0</v>
      </c>
      <c r="P502" s="613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3"/>
      <c r="C503" s="723"/>
      <c r="D503" s="684"/>
      <c r="E503" s="723" t="s">
        <v>184</v>
      </c>
      <c r="F503" s="723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3"/>
      <c r="D504" s="684"/>
      <c r="E504" s="723" t="s">
        <v>185</v>
      </c>
      <c r="F504" s="723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3"/>
      <c r="D505" s="614" t="s">
        <v>20</v>
      </c>
      <c r="E505" s="723"/>
      <c r="F505" s="723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3"/>
      <c r="D506" s="684"/>
      <c r="E506" s="723" t="s">
        <v>184</v>
      </c>
      <c r="F506" s="723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3"/>
      <c r="D507" s="684"/>
      <c r="E507" s="723" t="s">
        <v>185</v>
      </c>
      <c r="F507" s="723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2"/>
      <c r="C508" s="723"/>
      <c r="D508" s="723"/>
      <c r="E508" s="723"/>
      <c r="F508" s="723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2"/>
      <c r="C509" s="723"/>
      <c r="D509" s="723"/>
      <c r="E509" s="723"/>
      <c r="F509" s="723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2"/>
      <c r="C510" s="572"/>
      <c r="D510" s="572"/>
      <c r="E510" s="723"/>
      <c r="F510" s="723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2"/>
      <c r="C511" s="572"/>
      <c r="D511" s="572"/>
      <c r="E511" s="723"/>
      <c r="F511" s="723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4" t="s">
        <v>21</v>
      </c>
      <c r="E512" s="572"/>
      <c r="F512" s="723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3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3"/>
      <c r="E514" s="572" t="s">
        <v>19</v>
      </c>
      <c r="F514" s="723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69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4"/>
      <c r="F516" s="684"/>
      <c r="G516" s="582"/>
      <c r="H516" s="619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4"/>
      <c r="F517" s="684"/>
      <c r="G517" s="582"/>
      <c r="H517" s="620" t="s">
        <v>35</v>
      </c>
      <c r="I517" s="621"/>
      <c r="J517" s="621">
        <f>J518+J519</f>
        <v>0</v>
      </c>
      <c r="K517" s="622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4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4"/>
      <c r="G519" s="582"/>
      <c r="H519" s="619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5">I537</f>
        <v>0</v>
      </c>
      <c r="J522" s="672">
        <f t="shared" ca="1" si="225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27"/>
      <c r="C523" s="727" t="s">
        <v>16</v>
      </c>
      <c r="D523" s="803" t="s">
        <v>17</v>
      </c>
      <c r="E523" s="804"/>
      <c r="F523" s="804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3"/>
      <c r="C524" s="723"/>
      <c r="D524" s="684"/>
      <c r="E524" s="723" t="s">
        <v>184</v>
      </c>
      <c r="F524" s="723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3"/>
      <c r="D525" s="684"/>
      <c r="E525" s="723" t="s">
        <v>185</v>
      </c>
      <c r="F525" s="723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27"/>
      <c r="D526" s="571" t="s">
        <v>20</v>
      </c>
      <c r="E526" s="727"/>
      <c r="F526" s="727"/>
      <c r="G526" s="189"/>
      <c r="H526" s="776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3"/>
      <c r="D527" s="684"/>
      <c r="E527" s="723" t="s">
        <v>184</v>
      </c>
      <c r="F527" s="723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3"/>
      <c r="D528" s="684"/>
      <c r="E528" s="723" t="s">
        <v>185</v>
      </c>
      <c r="F528" s="723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27"/>
      <c r="D529" s="727"/>
      <c r="E529" s="727"/>
      <c r="F529" s="727" t="s">
        <v>186</v>
      </c>
      <c r="G529" s="189"/>
      <c r="H529" s="776" t="s">
        <v>12</v>
      </c>
      <c r="I529" s="270"/>
      <c r="J529" s="270"/>
      <c r="K529" s="466"/>
      <c r="L529" s="466"/>
      <c r="M529" s="466"/>
      <c r="N529" s="798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27"/>
      <c r="D530" s="727"/>
      <c r="E530" s="727"/>
      <c r="F530" s="727" t="s">
        <v>187</v>
      </c>
      <c r="G530" s="189"/>
      <c r="H530" s="776" t="s">
        <v>12</v>
      </c>
      <c r="I530" s="270"/>
      <c r="J530" s="270"/>
      <c r="K530" s="466"/>
      <c r="L530" s="466"/>
      <c r="M530" s="466"/>
      <c r="N530" s="798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27"/>
      <c r="D531" s="727"/>
      <c r="E531" s="727"/>
      <c r="F531" s="727" t="s">
        <v>188</v>
      </c>
      <c r="G531" s="189"/>
      <c r="H531" s="776" t="s">
        <v>12</v>
      </c>
      <c r="I531" s="270"/>
      <c r="J531" s="270"/>
      <c r="K531" s="466"/>
      <c r="L531" s="466"/>
      <c r="M531" s="466"/>
      <c r="N531" s="798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27"/>
      <c r="D532" s="727"/>
      <c r="E532" s="727"/>
      <c r="F532" s="727" t="s">
        <v>189</v>
      </c>
      <c r="G532" s="189"/>
      <c r="H532" s="776" t="s">
        <v>12</v>
      </c>
      <c r="I532" s="270"/>
      <c r="J532" s="270"/>
      <c r="K532" s="466"/>
      <c r="L532" s="466"/>
      <c r="M532" s="466"/>
      <c r="N532" s="798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27"/>
      <c r="D533" s="571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3"/>
      <c r="D534" s="723"/>
      <c r="E534" s="723" t="s">
        <v>18</v>
      </c>
      <c r="F534" s="723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3"/>
      <c r="D535" s="723"/>
      <c r="E535" s="723" t="s">
        <v>19</v>
      </c>
      <c r="F535" s="723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27" t="s">
        <v>16</v>
      </c>
      <c r="D536" s="870" t="s">
        <v>38</v>
      </c>
      <c r="E536" s="725"/>
      <c r="F536" s="725"/>
      <c r="G536" s="578"/>
      <c r="H536" s="726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27"/>
      <c r="D537" s="727" t="s">
        <v>227</v>
      </c>
      <c r="E537" s="727"/>
      <c r="F537" s="727"/>
      <c r="G537" s="189"/>
      <c r="H537" s="590" t="s">
        <v>35</v>
      </c>
      <c r="I537" s="647">
        <f ca="1">IFERROR(__xludf.DUMMYFUNCTION("IMPORTRANGE(""https://docs.google.com/spreadsheets/d/1QqKyyYR6Q21VydFLVH3TRQUabQu_ym0Zz7PgGX0-kHA/edit?usp=sharing"",""แผน!GU21"")"),0)</f>
        <v>0</v>
      </c>
      <c r="J537" s="647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8"/>
      <c r="B538" s="539"/>
      <c r="C538" s="727"/>
      <c r="D538" s="727"/>
      <c r="E538" s="727" t="s">
        <v>228</v>
      </c>
      <c r="F538" s="727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IFERROR(__xludf.DUMMYFUNCTION("IMPORTRANGE(""https://docs.google.com/spreadsheets/d/1QqKyyYR6Q21VydFLVH3TRQUabQu_ym0Zz7PgGX0-kHA/edit?usp=sharing"",""แผน!GV21"")"),0)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8"/>
      <c r="B539" s="539"/>
      <c r="C539" s="727"/>
      <c r="D539" s="727"/>
      <c r="E539" s="727" t="s">
        <v>229</v>
      </c>
      <c r="F539" s="727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IFERROR(__xludf.DUMMYFUNCTION("IMPORTRANGE(""https://docs.google.com/spreadsheets/d/1QqKyyYR6Q21VydFLVH3TRQUabQu_ym0Zz7PgGX0-kHA/edit?usp=sharing"",""แผน!GW21"")"),0)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8"/>
      <c r="B540" s="539"/>
      <c r="C540" s="727"/>
      <c r="D540" s="727"/>
      <c r="E540" s="727" t="s">
        <v>230</v>
      </c>
      <c r="F540" s="727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IFERROR(__xludf.DUMMYFUNCTION("IMPORTRANGE(""https://docs.google.com/spreadsheets/d/1QqKyyYR6Q21VydFLVH3TRQUabQu_ym0Zz7PgGX0-kHA/edit?usp=sharing"",""แผน!GX21"")"),0)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8"/>
      <c r="B541" s="539"/>
      <c r="C541" s="727"/>
      <c r="D541" s="727"/>
      <c r="E541" s="733" t="s">
        <v>231</v>
      </c>
      <c r="F541" s="727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IFERROR(__xludf.DUMMYFUNCTION("IMPORTRANGE(""https://docs.google.com/spreadsheets/d/1QqKyyYR6Q21VydFLVH3TRQUabQu_ym0Zz7PgGX0-kHA/edit?usp=sharing"",""แผน!GY21"")"),0)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8"/>
      <c r="B542" s="539"/>
      <c r="C542" s="727"/>
      <c r="D542" s="727" t="s">
        <v>59</v>
      </c>
      <c r="E542" s="727"/>
      <c r="F542" s="727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IFERROR(__xludf.DUMMYFUNCTION("IMPORTRANGE(""https://docs.google.com/spreadsheets/d/1QqKyyYR6Q21VydFLVH3TRQUabQu_ym0Zz7PgGX0-kHA/edit?usp=sharing"",""แผน!GZ21"")"),0)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5">I559</f>
        <v>2373</v>
      </c>
      <c r="J543" s="653">
        <f t="shared" si="235"/>
        <v>0</v>
      </c>
      <c r="K543" s="654">
        <f t="shared" ca="1" si="234"/>
        <v>0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871" t="s">
        <v>17</v>
      </c>
      <c r="E544" s="806"/>
      <c r="F544" s="806"/>
      <c r="G544" s="657"/>
      <c r="H544" s="275" t="s">
        <v>12</v>
      </c>
      <c r="I544" s="389"/>
      <c r="J544" s="389"/>
      <c r="K544" s="154"/>
      <c r="L544" s="155">
        <f t="shared" ref="L544:N544" ca="1" si="236">L545+L546</f>
        <v>348166</v>
      </c>
      <c r="M544" s="155">
        <f t="shared" si="236"/>
        <v>0</v>
      </c>
      <c r="N544" s="155">
        <f t="shared" si="236"/>
        <v>25000</v>
      </c>
      <c r="O544" s="155">
        <f t="shared" ref="O544:O549" ca="1" si="237">IF(L544&gt;0,N544*100/L544,0)</f>
        <v>7.1804828731122514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3"/>
      <c r="C545" s="723"/>
      <c r="D545" s="723"/>
      <c r="E545" s="723" t="s">
        <v>184</v>
      </c>
      <c r="F545" s="723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3"/>
      <c r="D546" s="723"/>
      <c r="E546" s="723" t="s">
        <v>185</v>
      </c>
      <c r="F546" s="723"/>
      <c r="G546" s="568"/>
      <c r="H546" s="165" t="s">
        <v>12</v>
      </c>
      <c r="I546" s="584"/>
      <c r="J546" s="584"/>
      <c r="K546" s="93"/>
      <c r="L546" s="93">
        <f t="shared" ca="1" si="239"/>
        <v>348166</v>
      </c>
      <c r="M546" s="93">
        <f t="shared" si="240"/>
        <v>0</v>
      </c>
      <c r="N546" s="93">
        <f t="shared" si="240"/>
        <v>25000</v>
      </c>
      <c r="O546" s="93">
        <f t="shared" ca="1" si="237"/>
        <v>7.1804828731122514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27"/>
      <c r="D547" s="571" t="s">
        <v>20</v>
      </c>
      <c r="E547" s="727"/>
      <c r="F547" s="727"/>
      <c r="G547" s="189"/>
      <c r="H547" s="776" t="s">
        <v>12</v>
      </c>
      <c r="I547" s="184"/>
      <c r="J547" s="184"/>
      <c r="K547" s="163"/>
      <c r="L547" s="466">
        <f t="shared" ref="L547:N547" ca="1" si="241">L548+L549</f>
        <v>348166</v>
      </c>
      <c r="M547" s="466">
        <f t="shared" si="241"/>
        <v>0</v>
      </c>
      <c r="N547" s="466">
        <f t="shared" si="241"/>
        <v>25000</v>
      </c>
      <c r="O547" s="466">
        <f t="shared" ca="1" si="237"/>
        <v>7.1804828731122514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3"/>
      <c r="D548" s="684"/>
      <c r="E548" s="723" t="s">
        <v>184</v>
      </c>
      <c r="F548" s="723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3"/>
      <c r="D549" s="684"/>
      <c r="E549" s="723" t="s">
        <v>185</v>
      </c>
      <c r="F549" s="723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IFERROR(__xludf.DUMMYFUNCTION("IMPORTRANGE(""https://docs.google.com/spreadsheets/d/1QqKyyYR6Q21VydFLVH3TRQUabQu_ym0Zz7PgGX0-kHA/edit?usp=sharing"",""แผน!HB21"")"),348166)</f>
        <v>348166</v>
      </c>
      <c r="M549" s="93">
        <v>0</v>
      </c>
      <c r="N549" s="93">
        <f>N550+N551+N552+N553+N554</f>
        <v>25000</v>
      </c>
      <c r="O549" s="93">
        <f t="shared" ca="1" si="237"/>
        <v>7.1804828731122514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27"/>
      <c r="D550" s="727"/>
      <c r="E550" s="727"/>
      <c r="F550" s="727" t="s">
        <v>186</v>
      </c>
      <c r="G550" s="189"/>
      <c r="H550" s="776" t="s">
        <v>12</v>
      </c>
      <c r="I550" s="270"/>
      <c r="J550" s="270"/>
      <c r="K550" s="466"/>
      <c r="L550" s="466"/>
      <c r="M550" s="466"/>
      <c r="N550" s="798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27"/>
      <c r="F551" s="727" t="s">
        <v>187</v>
      </c>
      <c r="G551" s="189"/>
      <c r="H551" s="776" t="s">
        <v>12</v>
      </c>
      <c r="I551" s="270"/>
      <c r="J551" s="270"/>
      <c r="K551" s="466"/>
      <c r="L551" s="466"/>
      <c r="M551" s="466"/>
      <c r="N551" s="798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27"/>
      <c r="D552" s="727"/>
      <c r="E552" s="727"/>
      <c r="F552" s="727" t="s">
        <v>188</v>
      </c>
      <c r="G552" s="189"/>
      <c r="H552" s="776" t="s">
        <v>12</v>
      </c>
      <c r="I552" s="270"/>
      <c r="J552" s="270"/>
      <c r="K552" s="466"/>
      <c r="L552" s="466"/>
      <c r="M552" s="466"/>
      <c r="N552" s="798">
        <v>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27"/>
      <c r="F553" s="727" t="s">
        <v>189</v>
      </c>
      <c r="G553" s="189"/>
      <c r="H553" s="776" t="s">
        <v>12</v>
      </c>
      <c r="I553" s="270"/>
      <c r="J553" s="270"/>
      <c r="K553" s="466"/>
      <c r="L553" s="466"/>
      <c r="M553" s="466"/>
      <c r="N553" s="798">
        <v>25000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27"/>
      <c r="F554" s="727" t="s">
        <v>233</v>
      </c>
      <c r="G554" s="189"/>
      <c r="H554" s="776" t="s">
        <v>12</v>
      </c>
      <c r="I554" s="270"/>
      <c r="J554" s="270"/>
      <c r="K554" s="466"/>
      <c r="L554" s="466"/>
      <c r="M554" s="466"/>
      <c r="N554" s="798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3"/>
      <c r="E556" s="723" t="s">
        <v>18</v>
      </c>
      <c r="F556" s="723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3"/>
      <c r="E557" s="723" t="s">
        <v>19</v>
      </c>
      <c r="F557" s="723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70" t="s">
        <v>38</v>
      </c>
      <c r="E558" s="725"/>
      <c r="F558" s="725"/>
      <c r="G558" s="578"/>
      <c r="H558" s="726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5">I576</f>
        <v>2373</v>
      </c>
      <c r="J559" s="672">
        <f t="shared" si="245"/>
        <v>0</v>
      </c>
      <c r="K559" s="643">
        <f t="shared" ref="K559:K561" ca="1" si="246">IF(I559&gt;0,J559*100/I559,0)</f>
        <v>0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IFERROR(__xludf.DUMMYFUNCTION("IMPORTRANGE(""https://docs.google.com/spreadsheets/d/1QqKyyYR6Q21VydFLVH3TRQUabQu_ym0Zz7PgGX0-kHA/edit?usp=sharing"",""แผน!HH21"")"),2373)</f>
        <v>2373</v>
      </c>
      <c r="J560" s="193">
        <f t="shared" ref="J560:J561" si="247">J562+J564+J566</f>
        <v>2373</v>
      </c>
      <c r="K560" s="380">
        <f t="shared" ca="1" si="246"/>
        <v>100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IFERROR(__xludf.DUMMYFUNCTION("IMPORTRANGE(""https://docs.google.com/spreadsheets/d/1QqKyyYR6Q21VydFLVH3TRQUabQu_ym0Zz7PgGX0-kHA/edit?usp=sharing"",""แผน!HG21"")"),118)</f>
        <v>118</v>
      </c>
      <c r="J561" s="193">
        <f t="shared" si="247"/>
        <v>118</v>
      </c>
      <c r="K561" s="380">
        <f t="shared" ca="1" si="246"/>
        <v>100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6"/>
      <c r="H562" s="728" t="s">
        <v>46</v>
      </c>
      <c r="I562" s="184"/>
      <c r="J562" s="215">
        <v>1870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6"/>
      <c r="H563" s="728" t="s">
        <v>34</v>
      </c>
      <c r="I563" s="184"/>
      <c r="J563" s="215">
        <v>97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6"/>
      <c r="H564" s="728" t="s">
        <v>46</v>
      </c>
      <c r="I564" s="184"/>
      <c r="J564" s="215">
        <v>418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6"/>
      <c r="H565" s="728" t="s">
        <v>34</v>
      </c>
      <c r="I565" s="184"/>
      <c r="J565" s="215">
        <v>17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6"/>
      <c r="H566" s="728" t="s">
        <v>46</v>
      </c>
      <c r="I566" s="184"/>
      <c r="J566" s="215">
        <v>85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6"/>
      <c r="H567" s="728" t="s">
        <v>34</v>
      </c>
      <c r="I567" s="184"/>
      <c r="J567" s="215">
        <v>4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IFERROR(__xludf.DUMMYFUNCTION("IMPORTRANGE(""https://docs.google.com/spreadsheets/d/1QqKyyYR6Q21VydFLVH3TRQUabQu_ym0Zz7PgGX0-kHA/edit?usp=sharing"",""แผน!HH21"")"),2373)</f>
        <v>2373</v>
      </c>
      <c r="J568" s="647">
        <f t="shared" ref="J568:J569" si="248">J570+J572+J574</f>
        <v>2373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IFERROR(__xludf.DUMMYFUNCTION("IMPORTRANGE(""https://docs.google.com/spreadsheets/d/1QqKyyYR6Q21VydFLVH3TRQUabQu_ym0Zz7PgGX0-kHA/edit?usp=sharing"",""แผน!HG21"")"),118)</f>
        <v>118</v>
      </c>
      <c r="J569" s="647">
        <f t="shared" si="248"/>
        <v>118</v>
      </c>
      <c r="K569" s="380">
        <f t="shared" ca="1" si="249"/>
        <v>100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6"/>
      <c r="H570" s="728" t="s">
        <v>46</v>
      </c>
      <c r="I570" s="184"/>
      <c r="J570" s="215">
        <v>1870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6"/>
      <c r="H571" s="728" t="s">
        <v>34</v>
      </c>
      <c r="I571" s="184"/>
      <c r="J571" s="215">
        <v>97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6"/>
      <c r="H572" s="728" t="s">
        <v>46</v>
      </c>
      <c r="I572" s="184"/>
      <c r="J572" s="215">
        <v>418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6"/>
      <c r="H573" s="728" t="s">
        <v>34</v>
      </c>
      <c r="I573" s="184"/>
      <c r="J573" s="215">
        <v>17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6"/>
      <c r="H574" s="728" t="s">
        <v>46</v>
      </c>
      <c r="I574" s="184"/>
      <c r="J574" s="215">
        <v>85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6"/>
      <c r="H575" s="728" t="s">
        <v>34</v>
      </c>
      <c r="I575" s="184"/>
      <c r="J575" s="215">
        <v>4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IFERROR(__xludf.DUMMYFUNCTION("IMPORTRANGE(""https://docs.google.com/spreadsheets/d/1QqKyyYR6Q21VydFLVH3TRQUabQu_ym0Zz7PgGX0-kHA/edit?usp=sharing"",""แผน!HH21"")"),2373)</f>
        <v>2373</v>
      </c>
      <c r="J576" s="647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IFERROR(__xludf.DUMMYFUNCTION("IMPORTRANGE(""https://docs.google.com/spreadsheets/d/1QqKyyYR6Q21VydFLVH3TRQUabQu_ym0Zz7PgGX0-kHA/edit?usp=sharing"",""แผน!HG21"")"),118)</f>
        <v>118</v>
      </c>
      <c r="J577" s="647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6"/>
      <c r="H578" s="72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6"/>
      <c r="H579" s="72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6"/>
      <c r="H580" s="72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6"/>
      <c r="H581" s="72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6"/>
      <c r="H582" s="728" t="s">
        <v>46</v>
      </c>
      <c r="I582" s="184"/>
      <c r="J582" s="647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6"/>
      <c r="H583" s="728" t="s">
        <v>34</v>
      </c>
      <c r="I583" s="184"/>
      <c r="J583" s="647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6"/>
      <c r="H584" s="72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6"/>
      <c r="H585" s="72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6"/>
      <c r="H586" s="72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6"/>
      <c r="H587" s="72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6"/>
      <c r="H588" s="72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6"/>
      <c r="H589" s="72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6"/>
      <c r="H590" s="72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3">I593</f>
        <v>3200</v>
      </c>
      <c r="J592" s="672">
        <f t="shared" si="253"/>
        <v>0</v>
      </c>
      <c r="K592" s="643">
        <f t="shared" ref="K592:K594" ca="1" si="254">IF(I592&gt;0,J592*100/I592,0)</f>
        <v>0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IFERROR(__xludf.DUMMYFUNCTION("IMPORTRANGE(""https://docs.google.com/spreadsheets/d/1QqKyyYR6Q21VydFLVH3TRQUabQu_ym0Zz7PgGX0-kHA/edit?usp=sharing"",""แผน!HJ21"")"),3200)</f>
        <v>3200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IFERROR(__xludf.DUMMYFUNCTION("IMPORTRANGE(""https://docs.google.com/spreadsheets/d/1QqKyyYR6Q21VydFLVH3TRQUabQu_ym0Zz7PgGX0-kHA/edit?usp=sharing"",""แผน!HI21"")"),400)</f>
        <v>400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6"/>
      <c r="H595" s="72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6"/>
      <c r="H596" s="72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0" t="s">
        <v>254</v>
      </c>
      <c r="E597" s="593"/>
      <c r="F597" s="593"/>
      <c r="G597" s="726"/>
      <c r="H597" s="72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6"/>
      <c r="H598" s="72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0" t="s">
        <v>255</v>
      </c>
      <c r="E599" s="593"/>
      <c r="F599" s="593"/>
      <c r="G599" s="726"/>
      <c r="H599" s="72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6"/>
      <c r="H600" s="72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0" t="s">
        <v>256</v>
      </c>
      <c r="E601" s="593"/>
      <c r="F601" s="593"/>
      <c r="G601" s="726"/>
      <c r="H601" s="72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6"/>
      <c r="H602" s="72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69" t="s">
        <v>257</v>
      </c>
      <c r="D603" s="585"/>
      <c r="E603" s="585"/>
      <c r="F603" s="593"/>
      <c r="G603" s="726"/>
      <c r="H603" s="72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6"/>
      <c r="H604" s="72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69" t="s">
        <v>258</v>
      </c>
      <c r="E605" s="593"/>
      <c r="F605" s="593"/>
      <c r="G605" s="726"/>
      <c r="H605" s="72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6"/>
      <c r="H606" s="72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69" t="s">
        <v>259</v>
      </c>
      <c r="E607" s="585"/>
      <c r="F607" s="593"/>
      <c r="G607" s="726"/>
      <c r="H607" s="72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6"/>
      <c r="H608" s="72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6"/>
      <c r="H609" s="72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6"/>
      <c r="H610" s="72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8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9">J614+J616</f>
        <v>0</v>
      </c>
      <c r="K612" s="681">
        <f t="shared" si="258"/>
        <v>0</v>
      </c>
      <c r="L612" s="682"/>
      <c r="M612" s="682"/>
      <c r="N612" s="682"/>
      <c r="O612" s="682"/>
      <c r="P612" s="682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9"/>
        <v>0</v>
      </c>
      <c r="K613" s="681">
        <f t="shared" si="258"/>
        <v>0</v>
      </c>
      <c r="L613" s="682"/>
      <c r="M613" s="682"/>
      <c r="N613" s="682"/>
      <c r="O613" s="682"/>
      <c r="P613" s="682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4" t="s">
        <v>264</v>
      </c>
      <c r="E614" s="581"/>
      <c r="F614" s="684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4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5" t="s">
        <v>264</v>
      </c>
      <c r="E616" s="684"/>
      <c r="F616" s="684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4"/>
      <c r="F617" s="684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5" t="s">
        <v>265</v>
      </c>
      <c r="E618" s="684"/>
      <c r="F618" s="684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4"/>
      <c r="F619" s="684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IFERROR(__xludf.DUMMYFUNCTION("IMPORTRANGE(""https://docs.google.com/spreadsheets/d/1QqKyyYR6Q21VydFLVH3TRQUabQu_ym0Zz7PgGX0-kHA/edit?usp=sharing"",""แผน!HL21"")"),0)</f>
        <v>0</v>
      </c>
      <c r="J620" s="692">
        <f t="shared" ref="J620:J621" si="260">J622+J624+J626</f>
        <v>0</v>
      </c>
      <c r="K620" s="693">
        <f t="shared" ref="K620:K621" ca="1" si="261">IF(I620&gt;0,J620*100/I620,0)</f>
        <v>0</v>
      </c>
      <c r="L620" s="694"/>
      <c r="M620" s="694"/>
      <c r="N620" s="694"/>
      <c r="O620" s="694"/>
      <c r="P620" s="694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IFERROR(__xludf.DUMMYFUNCTION("IMPORTRANGE(""https://docs.google.com/spreadsheets/d/1QqKyyYR6Q21VydFLVH3TRQUabQu_ym0Zz7PgGX0-kHA/edit?usp=sharing"",""แผน!HK21"")"),0)</f>
        <v>0</v>
      </c>
      <c r="J621" s="692">
        <f t="shared" si="260"/>
        <v>0</v>
      </c>
      <c r="K621" s="693">
        <f t="shared" ca="1" si="261"/>
        <v>0</v>
      </c>
      <c r="L621" s="694"/>
      <c r="M621" s="694"/>
      <c r="N621" s="694"/>
      <c r="O621" s="694"/>
      <c r="P621" s="694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0" t="s">
        <v>268</v>
      </c>
      <c r="E622" s="593"/>
      <c r="F622" s="593"/>
      <c r="G622" s="726"/>
      <c r="H622" s="72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6"/>
      <c r="H623" s="72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0" t="s">
        <v>264</v>
      </c>
      <c r="E624" s="593"/>
      <c r="F624" s="593"/>
      <c r="G624" s="726"/>
      <c r="H624" s="72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6"/>
      <c r="H625" s="72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0" t="s">
        <v>269</v>
      </c>
      <c r="E626" s="593"/>
      <c r="F626" s="593"/>
      <c r="G626" s="726"/>
      <c r="H626" s="72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6"/>
      <c r="B627" s="697"/>
      <c r="C627" s="697"/>
      <c r="D627" s="697"/>
      <c r="E627" s="698"/>
      <c r="F627" s="698"/>
      <c r="G627" s="699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2">I651</f>
        <v>90</v>
      </c>
      <c r="J628" s="705">
        <f t="shared" ca="1" si="262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27"/>
      <c r="C629" s="727" t="s">
        <v>16</v>
      </c>
      <c r="D629" s="803" t="s">
        <v>17</v>
      </c>
      <c r="E629" s="804"/>
      <c r="F629" s="804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342855</v>
      </c>
      <c r="M629" s="195">
        <f t="shared" si="263"/>
        <v>0</v>
      </c>
      <c r="N629" s="195">
        <f t="shared" si="263"/>
        <v>51465</v>
      </c>
      <c r="O629" s="195">
        <f t="shared" ref="O629:O634" ca="1" si="264">IF(L629&gt;0,N629*100/L629,0)</f>
        <v>15.010718816992606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3"/>
      <c r="C630" s="723"/>
      <c r="D630" s="684"/>
      <c r="E630" s="723" t="s">
        <v>184</v>
      </c>
      <c r="F630" s="723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3"/>
      <c r="D631" s="684"/>
      <c r="E631" s="723" t="s">
        <v>185</v>
      </c>
      <c r="F631" s="723"/>
      <c r="G631" s="568"/>
      <c r="H631" s="165" t="s">
        <v>12</v>
      </c>
      <c r="I631" s="584"/>
      <c r="J631" s="584"/>
      <c r="K631" s="93"/>
      <c r="L631" s="93">
        <f t="shared" ca="1" si="266"/>
        <v>342855</v>
      </c>
      <c r="M631" s="93">
        <f t="shared" si="266"/>
        <v>0</v>
      </c>
      <c r="N631" s="93">
        <f t="shared" si="266"/>
        <v>51465</v>
      </c>
      <c r="O631" s="93">
        <f t="shared" ca="1" si="264"/>
        <v>15.010718816992606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27"/>
      <c r="D632" s="571" t="s">
        <v>20</v>
      </c>
      <c r="E632" s="727"/>
      <c r="F632" s="727"/>
      <c r="G632" s="189"/>
      <c r="H632" s="776" t="s">
        <v>12</v>
      </c>
      <c r="I632" s="184"/>
      <c r="J632" s="184"/>
      <c r="K632" s="163"/>
      <c r="L632" s="466">
        <f t="shared" ref="L632:N632" ca="1" si="267">L633+L634</f>
        <v>342855</v>
      </c>
      <c r="M632" s="466">
        <f t="shared" si="267"/>
        <v>0</v>
      </c>
      <c r="N632" s="466">
        <f t="shared" si="267"/>
        <v>51465</v>
      </c>
      <c r="O632" s="466">
        <f t="shared" ca="1" si="264"/>
        <v>15.010718816992606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3"/>
      <c r="D633" s="684"/>
      <c r="E633" s="723" t="s">
        <v>184</v>
      </c>
      <c r="F633" s="723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3"/>
      <c r="D634" s="684"/>
      <c r="E634" s="723" t="s">
        <v>185</v>
      </c>
      <c r="F634" s="723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IFERROR(__xludf.DUMMYFUNCTION("IMPORTRANGE(""https://docs.google.com/spreadsheets/d/1QqKyyYR6Q21VydFLVH3TRQUabQu_ym0Zz7PgGX0-kHA/edit?usp=sharing"",""แผน!HN21"")"),342855)</f>
        <v>342855</v>
      </c>
      <c r="M634" s="93">
        <v>0</v>
      </c>
      <c r="N634" s="93">
        <f>N635+N636+N637+N638</f>
        <v>51465</v>
      </c>
      <c r="O634" s="93">
        <f t="shared" ca="1" si="264"/>
        <v>15.010718816992606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27"/>
      <c r="D635" s="727"/>
      <c r="E635" s="727"/>
      <c r="F635" s="727" t="s">
        <v>186</v>
      </c>
      <c r="G635" s="189"/>
      <c r="H635" s="776" t="s">
        <v>12</v>
      </c>
      <c r="I635" s="270"/>
      <c r="J635" s="270"/>
      <c r="K635" s="466"/>
      <c r="L635" s="466"/>
      <c r="M635" s="466"/>
      <c r="N635" s="798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27"/>
      <c r="D636" s="727"/>
      <c r="E636" s="727"/>
      <c r="F636" s="727" t="s">
        <v>187</v>
      </c>
      <c r="G636" s="189"/>
      <c r="H636" s="776" t="s">
        <v>12</v>
      </c>
      <c r="I636" s="270"/>
      <c r="J636" s="270"/>
      <c r="K636" s="466"/>
      <c r="L636" s="466"/>
      <c r="M636" s="466"/>
      <c r="N636" s="798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27"/>
      <c r="D637" s="727"/>
      <c r="E637" s="727"/>
      <c r="F637" s="727" t="s">
        <v>188</v>
      </c>
      <c r="G637" s="189"/>
      <c r="H637" s="776" t="s">
        <v>12</v>
      </c>
      <c r="I637" s="270"/>
      <c r="J637" s="270"/>
      <c r="K637" s="466"/>
      <c r="L637" s="466"/>
      <c r="M637" s="466"/>
      <c r="N637" s="798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27"/>
      <c r="D638" s="727"/>
      <c r="E638" s="727"/>
      <c r="F638" s="727" t="s">
        <v>189</v>
      </c>
      <c r="G638" s="189"/>
      <c r="H638" s="776" t="s">
        <v>12</v>
      </c>
      <c r="I638" s="270"/>
      <c r="J638" s="270"/>
      <c r="K638" s="466"/>
      <c r="L638" s="466"/>
      <c r="M638" s="466"/>
      <c r="N638" s="798">
        <v>51465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27"/>
      <c r="D639" s="571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3"/>
      <c r="D640" s="723"/>
      <c r="E640" s="723" t="s">
        <v>18</v>
      </c>
      <c r="F640" s="723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3"/>
      <c r="D641" s="723"/>
      <c r="E641" s="723" t="s">
        <v>19</v>
      </c>
      <c r="F641" s="723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27" t="s">
        <v>16</v>
      </c>
      <c r="D642" s="870" t="s">
        <v>38</v>
      </c>
      <c r="E642" s="725"/>
      <c r="F642" s="725"/>
      <c r="G642" s="578"/>
      <c r="H642" s="726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08"/>
      <c r="B643" s="539"/>
      <c r="C643" s="727"/>
      <c r="D643" s="593"/>
      <c r="E643" s="710" t="s">
        <v>271</v>
      </c>
      <c r="F643" s="593"/>
      <c r="G643" s="726"/>
      <c r="H643" s="728" t="s">
        <v>272</v>
      </c>
      <c r="I643" s="270">
        <f ca="1">IFERROR(__xludf.DUMMYFUNCTION("IMPORTRANGE(""https://docs.google.com/spreadsheets/d/1QqKyyYR6Q21VydFLVH3TRQUabQu_ym0Zz7PgGX0-kHA/edit?usp=sharing"",""แผน!HR21"")"),0)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08"/>
      <c r="B644" s="539"/>
      <c r="C644" s="727"/>
      <c r="D644" s="593"/>
      <c r="E644" s="710" t="s">
        <v>273</v>
      </c>
      <c r="F644" s="593"/>
      <c r="G644" s="726"/>
      <c r="H644" s="728" t="s">
        <v>274</v>
      </c>
      <c r="I644" s="270">
        <f ca="1">IFERROR(__xludf.DUMMYFUNCTION("IMPORTRANGE(""https://docs.google.com/spreadsheets/d/1QqKyyYR6Q21VydFLVH3TRQUabQu_ym0Zz7PgGX0-kHA/edit?usp=sharing"",""แผน!HR21"")"),0)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08"/>
      <c r="B645" s="539"/>
      <c r="C645" s="727"/>
      <c r="D645" s="593"/>
      <c r="E645" s="710" t="s">
        <v>275</v>
      </c>
      <c r="F645" s="593"/>
      <c r="G645" s="726"/>
      <c r="H645" s="72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IFERROR(__xludf.DUMMYFUNCTION("IMPORTRANGE(""https://docs.google.com/spreadsheets/d/1XWAQStnk-4SwqDmLtmXYiTMKHgktTP8We1SCoS47DrQ/edit?usp=sharing"",""จัดที่ดิน!AS21"")"),106)</f>
        <v>106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08"/>
      <c r="B646" s="539"/>
      <c r="C646" s="727"/>
      <c r="D646" s="593"/>
      <c r="E646" s="593"/>
      <c r="F646" s="593"/>
      <c r="G646" s="726"/>
      <c r="H646" s="72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IFERROR(__xludf.DUMMYFUNCTION("IMPORTRANGE(""https://docs.google.com/spreadsheets/d/1XWAQStnk-4SwqDmLtmXYiTMKHgktTP8We1SCoS47DrQ/edit?usp=sharing"",""จัดที่ดิน!AT21"")"),63.38)</f>
        <v>63.38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08"/>
      <c r="B647" s="539"/>
      <c r="C647" s="727"/>
      <c r="D647" s="593"/>
      <c r="E647" s="710" t="s">
        <v>162</v>
      </c>
      <c r="F647" s="593"/>
      <c r="G647" s="726"/>
      <c r="H647" s="728" t="s">
        <v>35</v>
      </c>
      <c r="I647" s="270">
        <f ca="1">IFERROR(__xludf.DUMMYFUNCTION("IMPORTRANGE(""https://docs.google.com/spreadsheets/d/1QqKyyYR6Q21VydFLVH3TRQUabQu_ym0Zz7PgGX0-kHA/edit?usp=sharing"",""แผน!HS21"")"),90)</f>
        <v>90</v>
      </c>
      <c r="J647" s="270">
        <f ca="1">IFERROR(__xludf.DUMMYFUNCTION("IMPORTRANGE(""https://docs.google.com/spreadsheets/d/1XWAQStnk-4SwqDmLtmXYiTMKHgktTP8We1SCoS47DrQ/edit?usp=sharing"",""จัดที่ดิน!AU21"")"),28)</f>
        <v>28</v>
      </c>
      <c r="K647" s="163">
        <f t="shared" ca="1" si="271"/>
        <v>31.111111111111111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08"/>
      <c r="B648" s="539"/>
      <c r="C648" s="727"/>
      <c r="D648" s="593"/>
      <c r="E648" s="593"/>
      <c r="F648" s="593"/>
      <c r="G648" s="726"/>
      <c r="H648" s="72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IFERROR(__xludf.DUMMYFUNCTION("IMPORTRANGE(""https://docs.google.com/spreadsheets/d/1XWAQStnk-4SwqDmLtmXYiTMKHgktTP8We1SCoS47DrQ/edit?usp=sharing"",""จัดที่ดิน!AV21"")"),16.33)</f>
        <v>16.329999999999998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08"/>
      <c r="B649" s="539"/>
      <c r="C649" s="727"/>
      <c r="D649" s="593"/>
      <c r="E649" s="710" t="s">
        <v>276</v>
      </c>
      <c r="F649" s="593"/>
      <c r="G649" s="726"/>
      <c r="H649" s="728" t="s">
        <v>35</v>
      </c>
      <c r="I649" s="270">
        <f ca="1">IFERROR(__xludf.DUMMYFUNCTION("IMPORTRANGE(""https://docs.google.com/spreadsheets/d/1QqKyyYR6Q21VydFLVH3TRQUabQu_ym0Zz7PgGX0-kHA/edit?usp=sharing"",""แผน!HS21"")"),90)</f>
        <v>90</v>
      </c>
      <c r="J649" s="270">
        <f ca="1">IFERROR(__xludf.DUMMYFUNCTION("IMPORTRANGE(""https://docs.google.com/spreadsheets/d/1XWAQStnk-4SwqDmLtmXYiTMKHgktTP8We1SCoS47DrQ/edit?usp=sharing"",""จัดที่ดิน!AW21"")"),3)</f>
        <v>3</v>
      </c>
      <c r="K649" s="163">
        <f t="shared" ca="1" si="271"/>
        <v>3.3333333333333335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08"/>
      <c r="B650" s="539"/>
      <c r="C650" s="727"/>
      <c r="D650" s="593"/>
      <c r="E650" s="593"/>
      <c r="F650" s="593"/>
      <c r="G650" s="726"/>
      <c r="H650" s="72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IFERROR(__xludf.DUMMYFUNCTION("IMPORTRANGE(""https://docs.google.com/spreadsheets/d/1XWAQStnk-4SwqDmLtmXYiTMKHgktTP8We1SCoS47DrQ/edit?usp=sharing"",""จัดที่ดิน!AX21"")"),0.49)</f>
        <v>0.49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08"/>
      <c r="B651" s="539"/>
      <c r="C651" s="727"/>
      <c r="D651" s="593"/>
      <c r="E651" s="710" t="s">
        <v>277</v>
      </c>
      <c r="F651" s="593"/>
      <c r="G651" s="726"/>
      <c r="H651" s="728" t="s">
        <v>35</v>
      </c>
      <c r="I651" s="270">
        <f ca="1">IFERROR(__xludf.DUMMYFUNCTION("IMPORTRANGE(""https://docs.google.com/spreadsheets/d/1QqKyyYR6Q21VydFLVH3TRQUabQu_ym0Zz7PgGX0-kHA/edit?usp=sharing"",""แผน!HS21"")"),90)</f>
        <v>90</v>
      </c>
      <c r="J651" s="270">
        <f ca="1">IFERROR(__xludf.DUMMYFUNCTION("IMPORTRANGE(""https://docs.google.com/spreadsheets/d/1XWAQStnk-4SwqDmLtmXYiTMKHgktTP8We1SCoS47DrQ/edit?usp=sharing"",""จัดที่ดิน!AY21"")"),0)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1"/>
      <c r="B652" s="712"/>
      <c r="C652" s="713"/>
      <c r="D652" s="698"/>
      <c r="E652" s="698"/>
      <c r="F652" s="698"/>
      <c r="G652" s="699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IFERROR(__xludf.DUMMYFUNCTION("IMPORTRANGE(""https://docs.google.com/spreadsheets/d/1XWAQStnk-4SwqDmLtmXYiTMKHgktTP8We1SCoS47DrQ/edit?usp=sharing"",""จัดที่ดิน!AZ21"")"),0)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2">I669</f>
        <v>50</v>
      </c>
      <c r="J654" s="672">
        <f t="shared" si="272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27"/>
      <c r="C655" s="727" t="s">
        <v>16</v>
      </c>
      <c r="D655" s="803" t="s">
        <v>17</v>
      </c>
      <c r="E655" s="804"/>
      <c r="F655" s="804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11000</v>
      </c>
      <c r="M655" s="195">
        <f t="shared" si="273"/>
        <v>0</v>
      </c>
      <c r="N655" s="195">
        <f t="shared" si="273"/>
        <v>5240</v>
      </c>
      <c r="O655" s="195">
        <f t="shared" ref="O655:O660" ca="1" si="274">IF(L655&gt;0,N655*100/L655,0)</f>
        <v>47.636363636363633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3"/>
      <c r="C656" s="723"/>
      <c r="D656" s="684"/>
      <c r="E656" s="723" t="s">
        <v>184</v>
      </c>
      <c r="F656" s="723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3"/>
      <c r="D657" s="684"/>
      <c r="E657" s="723" t="s">
        <v>185</v>
      </c>
      <c r="F657" s="723"/>
      <c r="G657" s="568"/>
      <c r="H657" s="165" t="s">
        <v>12</v>
      </c>
      <c r="I657" s="584"/>
      <c r="J657" s="584"/>
      <c r="K657" s="93"/>
      <c r="L657" s="93">
        <f t="shared" ca="1" si="276"/>
        <v>11000</v>
      </c>
      <c r="M657" s="93">
        <f t="shared" si="276"/>
        <v>0</v>
      </c>
      <c r="N657" s="93">
        <f t="shared" si="276"/>
        <v>5240</v>
      </c>
      <c r="O657" s="93">
        <f t="shared" ca="1" si="274"/>
        <v>47.636363636363633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27"/>
      <c r="D658" s="571" t="s">
        <v>20</v>
      </c>
      <c r="E658" s="727"/>
      <c r="F658" s="727"/>
      <c r="G658" s="189"/>
      <c r="H658" s="776" t="s">
        <v>12</v>
      </c>
      <c r="I658" s="184"/>
      <c r="J658" s="184"/>
      <c r="K658" s="163"/>
      <c r="L658" s="466">
        <f t="shared" ref="L658:N658" ca="1" si="277">L659+L660</f>
        <v>11000</v>
      </c>
      <c r="M658" s="466">
        <f t="shared" si="277"/>
        <v>0</v>
      </c>
      <c r="N658" s="466">
        <f t="shared" si="277"/>
        <v>5240</v>
      </c>
      <c r="O658" s="466">
        <f t="shared" ca="1" si="274"/>
        <v>47.636363636363633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3"/>
      <c r="D659" s="684"/>
      <c r="E659" s="723" t="s">
        <v>184</v>
      </c>
      <c r="F659" s="723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3"/>
      <c r="D660" s="684"/>
      <c r="E660" s="723" t="s">
        <v>185</v>
      </c>
      <c r="F660" s="723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IFERROR(__xludf.DUMMYFUNCTION("IMPORTRANGE(""https://docs.google.com/spreadsheets/d/1QqKyyYR6Q21VydFLVH3TRQUabQu_ym0Zz7PgGX0-kHA/edit?usp=sharing"",""แผน!HV21"")"),11000)</f>
        <v>11000</v>
      </c>
      <c r="M660" s="93">
        <v>0</v>
      </c>
      <c r="N660" s="93">
        <f>N661+N662+N663+N664</f>
        <v>5240</v>
      </c>
      <c r="O660" s="93">
        <f t="shared" ca="1" si="274"/>
        <v>47.636363636363633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27"/>
      <c r="D661" s="727"/>
      <c r="E661" s="727"/>
      <c r="F661" s="727" t="s">
        <v>186</v>
      </c>
      <c r="G661" s="189"/>
      <c r="H661" s="776" t="s">
        <v>12</v>
      </c>
      <c r="I661" s="270"/>
      <c r="J661" s="270"/>
      <c r="K661" s="466"/>
      <c r="L661" s="466"/>
      <c r="M661" s="466"/>
      <c r="N661" s="798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27"/>
      <c r="D662" s="727"/>
      <c r="E662" s="727"/>
      <c r="F662" s="727" t="s">
        <v>187</v>
      </c>
      <c r="G662" s="189"/>
      <c r="H662" s="776" t="s">
        <v>12</v>
      </c>
      <c r="I662" s="270"/>
      <c r="J662" s="270"/>
      <c r="K662" s="466"/>
      <c r="L662" s="466"/>
      <c r="M662" s="466"/>
      <c r="N662" s="798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27"/>
      <c r="E663" s="727"/>
      <c r="F663" s="727" t="s">
        <v>188</v>
      </c>
      <c r="G663" s="189"/>
      <c r="H663" s="776" t="s">
        <v>12</v>
      </c>
      <c r="I663" s="270"/>
      <c r="J663" s="270"/>
      <c r="K663" s="466"/>
      <c r="L663" s="466"/>
      <c r="M663" s="466"/>
      <c r="N663" s="798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27"/>
      <c r="F664" s="727" t="s">
        <v>189</v>
      </c>
      <c r="G664" s="189"/>
      <c r="H664" s="776" t="s">
        <v>12</v>
      </c>
      <c r="I664" s="270"/>
      <c r="J664" s="270"/>
      <c r="K664" s="466"/>
      <c r="L664" s="466"/>
      <c r="M664" s="466"/>
      <c r="N664" s="798">
        <v>5240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3" t="s">
        <v>18</v>
      </c>
      <c r="F666" s="723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3" t="s">
        <v>19</v>
      </c>
      <c r="F667" s="723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67" t="s">
        <v>38</v>
      </c>
      <c r="E668" s="725"/>
      <c r="F668" s="725"/>
      <c r="G668" s="578"/>
      <c r="H668" s="726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IFERROR(__xludf.DUMMYFUNCTION("IMPORTRANGE(""https://docs.google.com/spreadsheets/d/1QqKyyYR6Q21VydFLVH3TRQUabQu_ym0Zz7PgGX0-kHA/edit?usp=sharing"",""แผน!IA21"")"),50)</f>
        <v>50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6"/>
      <c r="H670" s="728" t="s">
        <v>66</v>
      </c>
      <c r="I670" s="270">
        <f ca="1">IFERROR(__xludf.DUMMYFUNCTION("IMPORTRANGE(""https://docs.google.com/spreadsheets/d/1QqKyyYR6Q21VydFLVH3TRQUabQu_ym0Zz7PgGX0-kHA/edit?usp=sharing"",""แผน!HZ21"")"),5)</f>
        <v>5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6"/>
      <c r="H671" s="728" t="s">
        <v>66</v>
      </c>
      <c r="I671" s="270">
        <f ca="1">IFERROR(__xludf.DUMMYFUNCTION("IMPORTRANGE(""https://docs.google.com/spreadsheets/d/1QqKyyYR6Q21VydFLVH3TRQUabQu_ym0Zz7PgGX0-kHA/edit?usp=sharing"",""แผน!HZ21"")"),5)</f>
        <v>5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6"/>
      <c r="H672" s="728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6"/>
      <c r="H673" s="728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6"/>
      <c r="H674" s="728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6"/>
      <c r="H675" s="728" t="s">
        <v>46</v>
      </c>
      <c r="I675" s="270"/>
      <c r="J675" s="647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6"/>
      <c r="H676" s="728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6"/>
      <c r="H677" s="728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IFERROR(__xludf.DUMMYFUNCTION("IMPORTRANGE(""https://docs.google.com/spreadsheets/d/1QqKyyYR6Q21VydFLVH3TRQUabQu_ym0Zz7PgGX0-kHA/edit?usp=sharing"",""แผน!IB21"")"),0)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6"/>
      <c r="H679" s="728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6"/>
      <c r="H680" s="728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6"/>
      <c r="H681" s="728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6"/>
      <c r="H682" s="728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6"/>
      <c r="H683" s="728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27"/>
      <c r="C685" s="727" t="s">
        <v>16</v>
      </c>
      <c r="D685" s="803" t="s">
        <v>17</v>
      </c>
      <c r="E685" s="804"/>
      <c r="F685" s="804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15760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3"/>
      <c r="C686" s="723"/>
      <c r="D686" s="684"/>
      <c r="E686" s="723" t="s">
        <v>184</v>
      </c>
      <c r="F686" s="723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3"/>
      <c r="D687" s="684"/>
      <c r="E687" s="723" t="s">
        <v>185</v>
      </c>
      <c r="F687" s="723"/>
      <c r="G687" s="568"/>
      <c r="H687" s="165" t="s">
        <v>12</v>
      </c>
      <c r="I687" s="584"/>
      <c r="J687" s="584"/>
      <c r="K687" s="93"/>
      <c r="L687" s="93">
        <f t="shared" ca="1" si="285"/>
        <v>15760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27"/>
      <c r="D688" s="571" t="s">
        <v>20</v>
      </c>
      <c r="E688" s="727"/>
      <c r="F688" s="727"/>
      <c r="G688" s="189"/>
      <c r="H688" s="776" t="s">
        <v>12</v>
      </c>
      <c r="I688" s="184"/>
      <c r="J688" s="184"/>
      <c r="K688" s="163"/>
      <c r="L688" s="466">
        <f t="shared" ref="L688:N688" ca="1" si="286">L689+L690</f>
        <v>15760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3"/>
      <c r="D689" s="684"/>
      <c r="E689" s="723" t="s">
        <v>184</v>
      </c>
      <c r="F689" s="723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3"/>
      <c r="D690" s="684"/>
      <c r="E690" s="723" t="s">
        <v>185</v>
      </c>
      <c r="F690" s="723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IFERROR(__xludf.DUMMYFUNCTION("IMPORTRANGE(""https://docs.google.com/spreadsheets/d/1QqKyyYR6Q21VydFLVH3TRQUabQu_ym0Zz7PgGX0-kHA/edit?usp=sharing"",""แผน!HW21"")"),15760)</f>
        <v>15760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27"/>
      <c r="D691" s="727"/>
      <c r="E691" s="727"/>
      <c r="F691" s="727" t="s">
        <v>186</v>
      </c>
      <c r="G691" s="189"/>
      <c r="H691" s="776" t="s">
        <v>12</v>
      </c>
      <c r="I691" s="270"/>
      <c r="J691" s="270"/>
      <c r="K691" s="466"/>
      <c r="L691" s="466"/>
      <c r="M691" s="466"/>
      <c r="N691" s="798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27"/>
      <c r="D692" s="727"/>
      <c r="E692" s="727"/>
      <c r="F692" s="727" t="s">
        <v>187</v>
      </c>
      <c r="G692" s="189"/>
      <c r="H692" s="776" t="s">
        <v>12</v>
      </c>
      <c r="I692" s="270"/>
      <c r="J692" s="270"/>
      <c r="K692" s="466"/>
      <c r="L692" s="466"/>
      <c r="M692" s="466"/>
      <c r="N692" s="798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27"/>
      <c r="D693" s="727"/>
      <c r="E693" s="727"/>
      <c r="F693" s="727" t="s">
        <v>188</v>
      </c>
      <c r="G693" s="189"/>
      <c r="H693" s="776" t="s">
        <v>12</v>
      </c>
      <c r="I693" s="270"/>
      <c r="J693" s="270"/>
      <c r="K693" s="466"/>
      <c r="L693" s="466"/>
      <c r="M693" s="466"/>
      <c r="N693" s="798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27"/>
      <c r="D694" s="727"/>
      <c r="E694" s="727"/>
      <c r="F694" s="727" t="s">
        <v>189</v>
      </c>
      <c r="G694" s="189"/>
      <c r="H694" s="776" t="s">
        <v>12</v>
      </c>
      <c r="I694" s="270"/>
      <c r="J694" s="270"/>
      <c r="K694" s="466"/>
      <c r="L694" s="466"/>
      <c r="M694" s="466"/>
      <c r="N694" s="798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27"/>
      <c r="D695" s="571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3"/>
      <c r="D696" s="723"/>
      <c r="E696" s="723" t="s">
        <v>18</v>
      </c>
      <c r="F696" s="723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3"/>
      <c r="D697" s="723"/>
      <c r="E697" s="723" t="s">
        <v>19</v>
      </c>
      <c r="F697" s="723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27" t="s">
        <v>16</v>
      </c>
      <c r="D698" s="872" t="s">
        <v>38</v>
      </c>
      <c r="E698" s="725"/>
      <c r="F698" s="725"/>
      <c r="G698" s="578"/>
      <c r="H698" s="726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IFERROR(__xludf.DUMMYFUNCTION("IMPORTRANGE(""https://docs.google.com/spreadsheets/d/1QqKyyYR6Q21VydFLVH3TRQUabQu_ym0Zz7PgGX0-kHA/edit?usp=sharing"",""แผน!IC21"")"),50)</f>
        <v>50</v>
      </c>
      <c r="J699" s="270">
        <f ca="1">IFERROR(__xludf.DUMMYFUNCTION("IMPORTRANGE(""https://docs.google.com/spreadsheets/d/1XWAQStnk-4SwqDmLtmXYiTMKHgktTP8We1SCoS47DrQ/edit?usp=sharing"",""จัดที่ดิน!BB21"")"),0)</f>
        <v>0</v>
      </c>
      <c r="K699" s="466">
        <f t="shared" ref="K699:K701" ca="1" si="290">IF(I699&gt;0,J699*100/I699,0)</f>
        <v>0</v>
      </c>
      <c r="L699" s="466"/>
      <c r="M699" s="189"/>
      <c r="N699" s="730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IFERROR(__xludf.DUMMYFUNCTION("IMPORTRANGE(""https://docs.google.com/spreadsheets/d/1QqKyyYR6Q21VydFLVH3TRQUabQu_ym0Zz7PgGX0-kHA/edit?usp=sharing"",""แผน!ID21"")"),0)</f>
        <v>0</v>
      </c>
      <c r="J700" s="270">
        <f ca="1">IFERROR(__xludf.DUMMYFUNCTION("IMPORTRANGE(""https://docs.google.com/spreadsheets/d/1XWAQStnk-4SwqDmLtmXYiTMKHgktTP8We1SCoS47DrQ/edit?usp=sharing"",""จัดที่ดิน!BD21"")"),0)</f>
        <v>0</v>
      </c>
      <c r="K700" s="466">
        <f t="shared" ca="1" si="290"/>
        <v>0</v>
      </c>
      <c r="L700" s="466"/>
      <c r="M700" s="189"/>
      <c r="N700" s="730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IFERROR(__xludf.DUMMYFUNCTION("IMPORTRANGE(""https://docs.google.com/spreadsheets/d/1QqKyyYR6Q21VydFLVH3TRQUabQu_ym0Zz7PgGX0-kHA/edit?usp=sharing"",""แผน!IE21"")"),120)</f>
        <v>120</v>
      </c>
      <c r="J701" s="647">
        <f>J704+J707</f>
        <v>15</v>
      </c>
      <c r="K701" s="195">
        <f t="shared" ca="1" si="290"/>
        <v>12.5</v>
      </c>
      <c r="L701" s="466"/>
      <c r="M701" s="189"/>
      <c r="N701" s="730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5">
        <v>0</v>
      </c>
      <c r="K702" s="466"/>
      <c r="L702" s="466"/>
      <c r="M702" s="189"/>
      <c r="N702" s="730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5">
        <v>0</v>
      </c>
      <c r="K703" s="466"/>
      <c r="L703" s="466"/>
      <c r="M703" s="189"/>
      <c r="N703" s="730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IFERROR(__xludf.DUMMYFUNCTION("IMPORTRANGE(""https://docs.google.com/spreadsheets/d/1QqKyyYR6Q21VydFLVH3TRQUabQu_ym0Zz7PgGX0-kHA/edit?usp=sharing"",""แผน!IF21"")"),60)</f>
        <v>60</v>
      </c>
      <c r="J704" s="215">
        <v>0</v>
      </c>
      <c r="K704" s="466"/>
      <c r="L704" s="466"/>
      <c r="M704" s="189"/>
      <c r="N704" s="730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5">
        <v>1</v>
      </c>
      <c r="K705" s="466"/>
      <c r="L705" s="466"/>
      <c r="M705" s="189"/>
      <c r="N705" s="730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5">
        <v>1</v>
      </c>
      <c r="K706" s="466"/>
      <c r="L706" s="466"/>
      <c r="M706" s="189"/>
      <c r="N706" s="730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IFERROR(__xludf.DUMMYFUNCTION("IMPORTRANGE(""https://docs.google.com/spreadsheets/d/1QqKyyYR6Q21VydFLVH3TRQUabQu_ym0Zz7PgGX0-kHA/edit?usp=sharing"",""แผน!IG21"")"),60)</f>
        <v>60</v>
      </c>
      <c r="J707" s="215">
        <v>15</v>
      </c>
      <c r="K707" s="466"/>
      <c r="L707" s="466"/>
      <c r="M707" s="189"/>
      <c r="N707" s="730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IFERROR(__xludf.DUMMYFUNCTION("IMPORTRANGE(""https://docs.google.com/spreadsheets/d/1QqKyyYR6Q21VydFLVH3TRQUabQu_ym0Zz7PgGX0-kHA/edit?usp=sharing"",""แผน!IH21"")"),0)</f>
        <v>0</v>
      </c>
      <c r="J708" s="647">
        <f>J714+J717</f>
        <v>0</v>
      </c>
      <c r="K708" s="195">
        <f ca="1">IF(I708&gt;0,J708*100/I708,0)</f>
        <v>0</v>
      </c>
      <c r="L708" s="466"/>
      <c r="M708" s="189"/>
      <c r="N708" s="730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5">
        <v>0</v>
      </c>
      <c r="K709" s="466"/>
      <c r="L709" s="730"/>
      <c r="M709" s="189"/>
      <c r="N709" s="730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5">
        <v>0</v>
      </c>
      <c r="K710" s="466"/>
      <c r="L710" s="730"/>
      <c r="M710" s="189"/>
      <c r="N710" s="730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70"/>
      <c r="K711" s="466"/>
      <c r="L711" s="730"/>
      <c r="M711" s="189"/>
      <c r="N711" s="730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5">
        <v>0</v>
      </c>
      <c r="K712" s="466"/>
      <c r="L712" s="730"/>
      <c r="M712" s="189"/>
      <c r="N712" s="730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5">
        <v>0</v>
      </c>
      <c r="K713" s="466"/>
      <c r="L713" s="730"/>
      <c r="M713" s="189"/>
      <c r="N713" s="730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5">
        <v>0</v>
      </c>
      <c r="K714" s="466"/>
      <c r="L714" s="730"/>
      <c r="M714" s="189"/>
      <c r="N714" s="730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5">
        <v>0</v>
      </c>
      <c r="K715" s="466"/>
      <c r="L715" s="730"/>
      <c r="M715" s="189"/>
      <c r="N715" s="730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5">
        <v>0</v>
      </c>
      <c r="K716" s="466"/>
      <c r="L716" s="730"/>
      <c r="M716" s="189"/>
      <c r="N716" s="730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5">
        <v>0</v>
      </c>
      <c r="K717" s="466"/>
      <c r="L717" s="730"/>
      <c r="M717" s="189"/>
      <c r="N717" s="730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70">
        <f ca="1">IFERROR(__xludf.DUMMYFUNCTION("IMPORTRANGE(""https://docs.google.com/spreadsheets/d/1XWAQStnk-4SwqDmLtmXYiTMKHgktTP8We1SCoS47DrQ/edit?usp=sharing"",""จัดที่ดิน!BF21"")"),0)</f>
        <v>0</v>
      </c>
      <c r="K718" s="466"/>
      <c r="L718" s="466"/>
      <c r="M718" s="189"/>
      <c r="N718" s="730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70">
        <f ca="1">IFERROR(__xludf.DUMMYFUNCTION("IMPORTRANGE(""https://docs.google.com/spreadsheets/d/1XWAQStnk-4SwqDmLtmXYiTMKHgktTP8We1SCoS47DrQ/edit?usp=sharing"",""จัดที่ดิน!BG21"")"),0)</f>
        <v>0</v>
      </c>
      <c r="K719" s="466"/>
      <c r="L719" s="730"/>
      <c r="M719" s="189"/>
      <c r="N719" s="730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IFERROR(__xludf.DUMMYFUNCTION("IMPORTRANGE(""https://docs.google.com/spreadsheets/d/1QqKyyYR6Q21VydFLVH3TRQUabQu_ym0Zz7PgGX0-kHA/edit?usp=sharing"",""แผน!II21"")"),80)</f>
        <v>80</v>
      </c>
      <c r="J720" s="270">
        <f ca="1">IFERROR(__xludf.DUMMYFUNCTION("IMPORTRANGE(""https://docs.google.com/spreadsheets/d/1XWAQStnk-4SwqDmLtmXYiTMKHgktTP8We1SCoS47DrQ/edit?usp=sharing"",""จัดที่ดิน!BH21"")"),0)</f>
        <v>0</v>
      </c>
      <c r="K720" s="466">
        <f t="shared" ref="K720:K723" ca="1" si="291">IF(I720&gt;0,J720*100/I720,0)</f>
        <v>0</v>
      </c>
      <c r="L720" s="730"/>
      <c r="M720" s="189"/>
      <c r="N720" s="730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IFERROR(__xludf.DUMMYFUNCTION("IMPORTRANGE(""https://docs.google.com/spreadsheets/d/1QqKyyYR6Q21VydFLVH3TRQUabQu_ym0Zz7PgGX0-kHA/edit?usp=sharing"",""แผน!IJ21"")"),8)</f>
        <v>8</v>
      </c>
      <c r="J721" s="647">
        <f ca="1">J723+J726</f>
        <v>0</v>
      </c>
      <c r="K721" s="195">
        <f t="shared" ca="1" si="291"/>
        <v>0</v>
      </c>
      <c r="L721" s="730"/>
      <c r="M721" s="189"/>
      <c r="N721" s="730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IFERROR(__xludf.DUMMYFUNCTION("IMPORTRANGE(""https://docs.google.com/spreadsheets/d/1QqKyyYR6Q21VydFLVH3TRQUabQu_ym0Zz7PgGX0-kHA/edit?usp=sharing"",""แผน!IK21"")"),80)</f>
        <v>80</v>
      </c>
      <c r="J722" s="647">
        <f ca="1">J725+J728</f>
        <v>0</v>
      </c>
      <c r="K722" s="195">
        <f t="shared" ca="1" si="291"/>
        <v>0</v>
      </c>
      <c r="L722" s="466"/>
      <c r="M722" s="189"/>
      <c r="N722" s="730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IFERROR(__xludf.DUMMYFUNCTION("IMPORTRANGE(""https://docs.google.com/spreadsheets/d/1QqKyyYR6Q21VydFLVH3TRQUabQu_ym0Zz7PgGX0-kHA/edit?usp=sharing"",""แผน!IL21"")"),4)</f>
        <v>4</v>
      </c>
      <c r="J723" s="270">
        <f ca="1">IFERROR(__xludf.DUMMYFUNCTION("IMPORTRANGE(""https://docs.google.com/spreadsheets/d/1XWAQStnk-4SwqDmLtmXYiTMKHgktTP8We1SCoS47DrQ/edit?usp=sharing"",""จัดที่ดิน!BM21"")"),0)</f>
        <v>0</v>
      </c>
      <c r="K723" s="466">
        <f t="shared" ca="1" si="291"/>
        <v>0</v>
      </c>
      <c r="L723" s="466"/>
      <c r="M723" s="189"/>
      <c r="N723" s="730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70">
        <f ca="1">IFERROR(__xludf.DUMMYFUNCTION("IMPORTRANGE(""https://docs.google.com/spreadsheets/d/1XWAQStnk-4SwqDmLtmXYiTMKHgktTP8We1SCoS47DrQ/edit?usp=sharing"",""จัดที่ดิน!BN21"")"),0)</f>
        <v>0</v>
      </c>
      <c r="K724" s="466"/>
      <c r="L724" s="730"/>
      <c r="M724" s="189"/>
      <c r="N724" s="730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IFERROR(__xludf.DUMMYFUNCTION("IMPORTRANGE(""https://docs.google.com/spreadsheets/d/1QqKyyYR6Q21VydFLVH3TRQUabQu_ym0Zz7PgGX0-kHA/edit?usp=sharing"",""แผน!IM21"")"),40)</f>
        <v>40</v>
      </c>
      <c r="J725" s="270">
        <f ca="1">IFERROR(__xludf.DUMMYFUNCTION("IMPORTRANGE(""https://docs.google.com/spreadsheets/d/1XWAQStnk-4SwqDmLtmXYiTMKHgktTP8We1SCoS47DrQ/edit?usp=sharing"",""จัดที่ดิน!BO21"")"),0)</f>
        <v>0</v>
      </c>
      <c r="K725" s="466">
        <f t="shared" ref="K725:K726" ca="1" si="292">IF(I725&gt;0,J725*100/I725,0)</f>
        <v>0</v>
      </c>
      <c r="L725" s="730"/>
      <c r="M725" s="189"/>
      <c r="N725" s="730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IFERROR(__xludf.DUMMYFUNCTION("IMPORTRANGE(""https://docs.google.com/spreadsheets/d/1QqKyyYR6Q21VydFLVH3TRQUabQu_ym0Zz7PgGX0-kHA/edit?usp=sharing"",""แผน!IN21"")"),4)</f>
        <v>4</v>
      </c>
      <c r="J726" s="270">
        <f ca="1">IFERROR(__xludf.DUMMYFUNCTION("IMPORTRANGE(""https://docs.google.com/spreadsheets/d/1XWAQStnk-4SwqDmLtmXYiTMKHgktTP8We1SCoS47DrQ/edit?usp=sharing"",""จัดที่ดิน!BR21"")"),0)</f>
        <v>0</v>
      </c>
      <c r="K726" s="466">
        <f t="shared" ca="1" si="292"/>
        <v>0</v>
      </c>
      <c r="L726" s="466"/>
      <c r="M726" s="189"/>
      <c r="N726" s="730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70">
        <f ca="1">IFERROR(__xludf.DUMMYFUNCTION("IMPORTRANGE(""https://docs.google.com/spreadsheets/d/1XWAQStnk-4SwqDmLtmXYiTMKHgktTP8We1SCoS47DrQ/edit?usp=sharing"",""จัดที่ดิน!BS21"")"),0)</f>
        <v>0</v>
      </c>
      <c r="K727" s="466"/>
      <c r="L727" s="730"/>
      <c r="M727" s="189"/>
      <c r="N727" s="730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IFERROR(__xludf.DUMMYFUNCTION("IMPORTRANGE(""https://docs.google.com/spreadsheets/d/1QqKyyYR6Q21VydFLVH3TRQUabQu_ym0Zz7PgGX0-kHA/edit?usp=sharing"",""แผน!IO21"")"),40)</f>
        <v>40</v>
      </c>
      <c r="J728" s="270">
        <f ca="1">IFERROR(__xludf.DUMMYFUNCTION("IMPORTRANGE(""https://docs.google.com/spreadsheets/d/1XWAQStnk-4SwqDmLtmXYiTMKHgktTP8We1SCoS47DrQ/edit?usp=sharing"",""จัดที่ดิน!BT21"")"),0)</f>
        <v>0</v>
      </c>
      <c r="K728" s="466">
        <f t="shared" ref="K728:K729" ca="1" si="293">IF(I728&gt;0,J728*100/I728,0)</f>
        <v>0</v>
      </c>
      <c r="L728" s="730"/>
      <c r="M728" s="189"/>
      <c r="N728" s="730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IFERROR(__xludf.DUMMYFUNCTION("IMPORTRANGE(""https://docs.google.com/spreadsheets/d/1QqKyyYR6Q21VydFLVH3TRQUabQu_ym0Zz7PgGX0-kHA/edit?usp=sharing"",""แผน!IP21"")"),0)</f>
        <v>0</v>
      </c>
      <c r="J729" s="647">
        <f>J732+J735</f>
        <v>0</v>
      </c>
      <c r="K729" s="195">
        <f t="shared" ca="1" si="293"/>
        <v>0</v>
      </c>
      <c r="L729" s="466"/>
      <c r="M729" s="189"/>
      <c r="N729" s="730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5">
        <v>0</v>
      </c>
      <c r="K730" s="466"/>
      <c r="L730" s="730"/>
      <c r="M730" s="466"/>
      <c r="N730" s="730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5">
        <v>0</v>
      </c>
      <c r="K731" s="466"/>
      <c r="L731" s="730"/>
      <c r="M731" s="466"/>
      <c r="N731" s="730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5">
        <v>0</v>
      </c>
      <c r="K732" s="466"/>
      <c r="L732" s="730"/>
      <c r="M732" s="466"/>
      <c r="N732" s="730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5">
        <v>0</v>
      </c>
      <c r="K733" s="466"/>
      <c r="L733" s="730"/>
      <c r="M733" s="466"/>
      <c r="N733" s="730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5">
        <v>0</v>
      </c>
      <c r="K734" s="466"/>
      <c r="L734" s="730"/>
      <c r="M734" s="466"/>
      <c r="N734" s="730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1" t="s">
        <v>46</v>
      </c>
      <c r="I735" s="736"/>
      <c r="J735" s="393">
        <v>0</v>
      </c>
      <c r="K735" s="470"/>
      <c r="L735" s="737"/>
      <c r="M735" s="470"/>
      <c r="N735" s="737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3"/>
      <c r="C737" s="723" t="s">
        <v>16</v>
      </c>
      <c r="D737" s="808" t="s">
        <v>17</v>
      </c>
      <c r="E737" s="804"/>
      <c r="F737" s="804"/>
      <c r="G737" s="568"/>
      <c r="H737" s="612" t="s">
        <v>12</v>
      </c>
      <c r="I737" s="584"/>
      <c r="J737" s="584"/>
      <c r="K737" s="93"/>
      <c r="L737" s="613">
        <f t="shared" ref="L737:N737" si="294">L738+L739</f>
        <v>0</v>
      </c>
      <c r="M737" s="613">
        <f t="shared" si="294"/>
        <v>0</v>
      </c>
      <c r="N737" s="613">
        <f t="shared" si="294"/>
        <v>0</v>
      </c>
      <c r="O737" s="613">
        <f t="shared" ref="O737:O742" si="295">IF(L737&gt;0,N737*100/L737,0)</f>
        <v>0</v>
      </c>
      <c r="P737" s="613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3"/>
      <c r="C738" s="723"/>
      <c r="D738" s="684"/>
      <c r="E738" s="723" t="s">
        <v>184</v>
      </c>
      <c r="F738" s="723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3"/>
      <c r="D739" s="684"/>
      <c r="E739" s="723" t="s">
        <v>185</v>
      </c>
      <c r="F739" s="723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3"/>
      <c r="D740" s="802" t="s">
        <v>20</v>
      </c>
      <c r="E740" s="723"/>
      <c r="F740" s="723"/>
      <c r="G740" s="568"/>
      <c r="H740" s="612" t="s">
        <v>12</v>
      </c>
      <c r="I740" s="166"/>
      <c r="J740" s="166"/>
      <c r="K740" s="167"/>
      <c r="L740" s="613">
        <f t="shared" ref="L740:N740" si="298">L741+L742</f>
        <v>0</v>
      </c>
      <c r="M740" s="613">
        <f t="shared" si="298"/>
        <v>0</v>
      </c>
      <c r="N740" s="613">
        <f t="shared" si="298"/>
        <v>0</v>
      </c>
      <c r="O740" s="613">
        <f t="shared" si="295"/>
        <v>0</v>
      </c>
      <c r="P740" s="613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3"/>
      <c r="D741" s="684"/>
      <c r="E741" s="723" t="s">
        <v>184</v>
      </c>
      <c r="F741" s="723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3"/>
      <c r="D742" s="684"/>
      <c r="E742" s="723" t="s">
        <v>185</v>
      </c>
      <c r="F742" s="723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2"/>
      <c r="C743" s="723"/>
      <c r="D743" s="723"/>
      <c r="E743" s="723"/>
      <c r="F743" s="723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2"/>
      <c r="C744" s="723"/>
      <c r="D744" s="723"/>
      <c r="E744" s="723"/>
      <c r="F744" s="723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2"/>
      <c r="C745" s="723"/>
      <c r="D745" s="723"/>
      <c r="E745" s="723"/>
      <c r="F745" s="723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2"/>
      <c r="C746" s="723"/>
      <c r="D746" s="723"/>
      <c r="E746" s="723"/>
      <c r="F746" s="723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3"/>
      <c r="D747" s="802" t="s">
        <v>21</v>
      </c>
      <c r="E747" s="723"/>
      <c r="F747" s="723"/>
      <c r="G747" s="568"/>
      <c r="H747" s="747" t="s">
        <v>12</v>
      </c>
      <c r="I747" s="166"/>
      <c r="J747" s="166"/>
      <c r="K747" s="167"/>
      <c r="L747" s="613">
        <f t="shared" ref="L747:N747" si="299">L748+L749</f>
        <v>0</v>
      </c>
      <c r="M747" s="613">
        <f t="shared" si="299"/>
        <v>0</v>
      </c>
      <c r="N747" s="613">
        <f t="shared" si="299"/>
        <v>0</v>
      </c>
      <c r="O747" s="613">
        <f t="shared" ref="O747:O749" si="300">IF(L747&gt;0,N747*100/L747,0)</f>
        <v>0</v>
      </c>
      <c r="P747" s="613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3"/>
      <c r="D748" s="723"/>
      <c r="E748" s="723" t="s">
        <v>18</v>
      </c>
      <c r="F748" s="723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3"/>
      <c r="D749" s="723"/>
      <c r="E749" s="723" t="s">
        <v>19</v>
      </c>
      <c r="F749" s="723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3" t="s">
        <v>16</v>
      </c>
      <c r="D750" s="873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2"/>
      <c r="C751" s="723"/>
      <c r="D751" s="723"/>
      <c r="E751" s="723" t="s">
        <v>313</v>
      </c>
      <c r="F751" s="723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2"/>
      <c r="C752" s="723"/>
      <c r="D752" s="723"/>
      <c r="E752" s="723"/>
      <c r="F752" s="723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3"/>
      <c r="C754" s="723" t="s">
        <v>16</v>
      </c>
      <c r="D754" s="808" t="s">
        <v>17</v>
      </c>
      <c r="E754" s="804"/>
      <c r="F754" s="804"/>
      <c r="G754" s="568"/>
      <c r="H754" s="612" t="s">
        <v>12</v>
      </c>
      <c r="I754" s="584"/>
      <c r="J754" s="584"/>
      <c r="K754" s="93"/>
      <c r="L754" s="613">
        <f t="shared" ref="L754:N754" si="302">L755+L756</f>
        <v>0</v>
      </c>
      <c r="M754" s="613">
        <f t="shared" si="302"/>
        <v>0</v>
      </c>
      <c r="N754" s="613">
        <f t="shared" si="302"/>
        <v>0</v>
      </c>
      <c r="O754" s="613">
        <f t="shared" ref="O754:O759" si="303">IF(L754&gt;0,N754*100/L754,0)</f>
        <v>0</v>
      </c>
      <c r="P754" s="613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3"/>
      <c r="C755" s="723"/>
      <c r="D755" s="684"/>
      <c r="E755" s="723" t="s">
        <v>184</v>
      </c>
      <c r="F755" s="723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3"/>
      <c r="D756" s="684"/>
      <c r="E756" s="723" t="s">
        <v>185</v>
      </c>
      <c r="F756" s="723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3"/>
      <c r="D757" s="802" t="s">
        <v>20</v>
      </c>
      <c r="E757" s="723"/>
      <c r="F757" s="723"/>
      <c r="G757" s="568"/>
      <c r="H757" s="612" t="s">
        <v>12</v>
      </c>
      <c r="I757" s="166"/>
      <c r="J757" s="166"/>
      <c r="K757" s="167"/>
      <c r="L757" s="613">
        <f t="shared" ref="L757:N757" si="306">L758+L759</f>
        <v>0</v>
      </c>
      <c r="M757" s="613">
        <f t="shared" si="306"/>
        <v>0</v>
      </c>
      <c r="N757" s="613">
        <f t="shared" si="306"/>
        <v>0</v>
      </c>
      <c r="O757" s="613">
        <f t="shared" si="303"/>
        <v>0</v>
      </c>
      <c r="P757" s="613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3"/>
      <c r="D758" s="684"/>
      <c r="E758" s="723" t="s">
        <v>184</v>
      </c>
      <c r="F758" s="723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3"/>
      <c r="D759" s="684"/>
      <c r="E759" s="723" t="s">
        <v>185</v>
      </c>
      <c r="F759" s="723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2"/>
      <c r="C760" s="723"/>
      <c r="D760" s="723"/>
      <c r="E760" s="723"/>
      <c r="F760" s="723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2"/>
      <c r="C761" s="723"/>
      <c r="D761" s="723"/>
      <c r="E761" s="723"/>
      <c r="F761" s="723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2"/>
      <c r="C762" s="723"/>
      <c r="D762" s="723"/>
      <c r="E762" s="723"/>
      <c r="F762" s="723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2"/>
      <c r="C763" s="723"/>
      <c r="D763" s="723"/>
      <c r="E763" s="723"/>
      <c r="F763" s="723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3"/>
      <c r="D764" s="802" t="s">
        <v>21</v>
      </c>
      <c r="E764" s="723"/>
      <c r="F764" s="723"/>
      <c r="G764" s="568"/>
      <c r="H764" s="747" t="s">
        <v>12</v>
      </c>
      <c r="I764" s="166"/>
      <c r="J764" s="166"/>
      <c r="K764" s="167"/>
      <c r="L764" s="613">
        <f t="shared" ref="L764:N764" si="307">L765+L766</f>
        <v>0</v>
      </c>
      <c r="M764" s="613">
        <f t="shared" si="307"/>
        <v>0</v>
      </c>
      <c r="N764" s="613">
        <f t="shared" si="307"/>
        <v>0</v>
      </c>
      <c r="O764" s="613">
        <f t="shared" ref="O764:O766" si="308">IF(L764&gt;0,N764*100/L764,0)</f>
        <v>0</v>
      </c>
      <c r="P764" s="613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3"/>
      <c r="D765" s="723"/>
      <c r="E765" s="723" t="s">
        <v>18</v>
      </c>
      <c r="F765" s="723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3"/>
      <c r="D766" s="723"/>
      <c r="E766" s="723" t="s">
        <v>19</v>
      </c>
      <c r="F766" s="723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3" t="s">
        <v>16</v>
      </c>
      <c r="D767" s="873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2"/>
      <c r="C768" s="723"/>
      <c r="D768" s="723"/>
      <c r="E768" s="723" t="s">
        <v>316</v>
      </c>
      <c r="F768" s="723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3"/>
      <c r="C770" s="723" t="s">
        <v>16</v>
      </c>
      <c r="D770" s="808" t="s">
        <v>17</v>
      </c>
      <c r="E770" s="804"/>
      <c r="F770" s="804"/>
      <c r="G770" s="568"/>
      <c r="H770" s="612" t="s">
        <v>12</v>
      </c>
      <c r="I770" s="584"/>
      <c r="J770" s="584"/>
      <c r="K770" s="93"/>
      <c r="L770" s="613">
        <f t="shared" ref="L770:N770" si="310">L771+L772</f>
        <v>0</v>
      </c>
      <c r="M770" s="613">
        <f t="shared" si="310"/>
        <v>0</v>
      </c>
      <c r="N770" s="613">
        <f t="shared" si="310"/>
        <v>0</v>
      </c>
      <c r="O770" s="613">
        <f t="shared" ref="O770:O775" si="311">IF(L770&gt;0,N770*100/L770,0)</f>
        <v>0</v>
      </c>
      <c r="P770" s="613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3"/>
      <c r="C771" s="723"/>
      <c r="D771" s="684"/>
      <c r="E771" s="723" t="s">
        <v>184</v>
      </c>
      <c r="F771" s="723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3"/>
      <c r="D772" s="684"/>
      <c r="E772" s="723" t="s">
        <v>185</v>
      </c>
      <c r="F772" s="723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3"/>
      <c r="D773" s="802" t="s">
        <v>20</v>
      </c>
      <c r="E773" s="723"/>
      <c r="F773" s="723"/>
      <c r="G773" s="568"/>
      <c r="H773" s="612" t="s">
        <v>12</v>
      </c>
      <c r="I773" s="166"/>
      <c r="J773" s="166"/>
      <c r="K773" s="167"/>
      <c r="L773" s="613">
        <f t="shared" ref="L773:N773" si="314">L774+L775</f>
        <v>0</v>
      </c>
      <c r="M773" s="613">
        <f t="shared" si="314"/>
        <v>0</v>
      </c>
      <c r="N773" s="613">
        <f t="shared" si="314"/>
        <v>0</v>
      </c>
      <c r="O773" s="613">
        <f t="shared" si="311"/>
        <v>0</v>
      </c>
      <c r="P773" s="613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3"/>
      <c r="D774" s="684"/>
      <c r="E774" s="723" t="s">
        <v>184</v>
      </c>
      <c r="F774" s="723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3"/>
      <c r="D775" s="684"/>
      <c r="E775" s="723" t="s">
        <v>185</v>
      </c>
      <c r="F775" s="723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2"/>
      <c r="C776" s="723"/>
      <c r="D776" s="723"/>
      <c r="E776" s="723"/>
      <c r="F776" s="723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2"/>
      <c r="C777" s="723"/>
      <c r="D777" s="723"/>
      <c r="E777" s="723"/>
      <c r="F777" s="723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2"/>
      <c r="C778" s="723"/>
      <c r="D778" s="723"/>
      <c r="E778" s="723"/>
      <c r="F778" s="723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2"/>
      <c r="C779" s="723"/>
      <c r="D779" s="723"/>
      <c r="E779" s="723"/>
      <c r="F779" s="723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3"/>
      <c r="D780" s="802" t="s">
        <v>21</v>
      </c>
      <c r="E780" s="723"/>
      <c r="F780" s="723"/>
      <c r="G780" s="568"/>
      <c r="H780" s="747" t="s">
        <v>12</v>
      </c>
      <c r="I780" s="166"/>
      <c r="J780" s="166"/>
      <c r="K780" s="167"/>
      <c r="L780" s="613">
        <f t="shared" ref="L780:N780" si="315">L781+L782</f>
        <v>0</v>
      </c>
      <c r="M780" s="613">
        <f t="shared" si="315"/>
        <v>0</v>
      </c>
      <c r="N780" s="613">
        <f t="shared" si="315"/>
        <v>0</v>
      </c>
      <c r="O780" s="613">
        <f t="shared" ref="O780:O782" si="316">IF(L780&gt;0,N780*100/L780,0)</f>
        <v>0</v>
      </c>
      <c r="P780" s="613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3"/>
      <c r="D781" s="723"/>
      <c r="E781" s="723" t="s">
        <v>18</v>
      </c>
      <c r="F781" s="723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3"/>
      <c r="D782" s="723"/>
      <c r="E782" s="723" t="s">
        <v>19</v>
      </c>
      <c r="F782" s="723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3" t="s">
        <v>16</v>
      </c>
      <c r="D783" s="873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2"/>
      <c r="C784" s="723"/>
      <c r="D784" s="723"/>
      <c r="E784" s="723" t="s">
        <v>318</v>
      </c>
      <c r="F784" s="723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892" t="s">
        <v>46</v>
      </c>
      <c r="I785" s="893">
        <f t="shared" ref="I785:J785" ca="1" si="318">I801+I803</f>
        <v>2000</v>
      </c>
      <c r="J785" s="893">
        <f t="shared" ca="1" si="318"/>
        <v>1041</v>
      </c>
      <c r="K785" s="894">
        <f ca="1">IF(I785&gt;0,J785*100/I785,0)</f>
        <v>52.05</v>
      </c>
      <c r="L785" s="773"/>
      <c r="M785" s="773"/>
      <c r="N785" s="773"/>
      <c r="O785" s="773"/>
      <c r="P785" s="77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27" t="s">
        <v>16</v>
      </c>
      <c r="D786" s="803" t="s">
        <v>17</v>
      </c>
      <c r="E786" s="804"/>
      <c r="F786" s="804"/>
      <c r="G786" s="189"/>
      <c r="H786" s="895" t="s">
        <v>12</v>
      </c>
      <c r="I786" s="896"/>
      <c r="J786" s="896"/>
      <c r="K786" s="897"/>
      <c r="L786" s="195">
        <f t="shared" ref="L786:N786" ca="1" si="319">L787+L788</f>
        <v>137280</v>
      </c>
      <c r="M786" s="195">
        <f t="shared" si="319"/>
        <v>0</v>
      </c>
      <c r="N786" s="195">
        <f t="shared" si="319"/>
        <v>10000</v>
      </c>
      <c r="O786" s="195">
        <f t="shared" ref="O786:O791" ca="1" si="320">IF(L786&gt;0,N786*100/L786,0)</f>
        <v>7.2843822843822847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3"/>
      <c r="D787" s="684"/>
      <c r="E787" s="723" t="s">
        <v>184</v>
      </c>
      <c r="F787" s="723"/>
      <c r="G787" s="568"/>
      <c r="H787" s="898" t="s">
        <v>12</v>
      </c>
      <c r="I787" s="896"/>
      <c r="J787" s="896"/>
      <c r="K787" s="89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3" t="s">
        <v>185</v>
      </c>
      <c r="F788" s="723"/>
      <c r="G788" s="568"/>
      <c r="H788" s="898" t="s">
        <v>12</v>
      </c>
      <c r="I788" s="896"/>
      <c r="J788" s="896"/>
      <c r="K788" s="897"/>
      <c r="L788" s="93">
        <f t="shared" ca="1" si="322"/>
        <v>137280</v>
      </c>
      <c r="M788" s="93">
        <f t="shared" si="322"/>
        <v>0</v>
      </c>
      <c r="N788" s="93">
        <f t="shared" si="322"/>
        <v>10000</v>
      </c>
      <c r="O788" s="93">
        <f t="shared" ca="1" si="320"/>
        <v>7.2843822843822847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27"/>
      <c r="F789" s="727"/>
      <c r="G789" s="189"/>
      <c r="H789" s="899" t="s">
        <v>12</v>
      </c>
      <c r="I789" s="900"/>
      <c r="J789" s="900"/>
      <c r="K789" s="901"/>
      <c r="L789" s="466">
        <f t="shared" ref="L789:N789" ca="1" si="323">L790+L791</f>
        <v>137280</v>
      </c>
      <c r="M789" s="466">
        <f t="shared" si="323"/>
        <v>0</v>
      </c>
      <c r="N789" s="466">
        <f t="shared" si="323"/>
        <v>10000</v>
      </c>
      <c r="O789" s="466">
        <f t="shared" ca="1" si="320"/>
        <v>7.2843822843822847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3" t="s">
        <v>184</v>
      </c>
      <c r="F790" s="723"/>
      <c r="G790" s="568"/>
      <c r="H790" s="898" t="s">
        <v>12</v>
      </c>
      <c r="I790" s="896"/>
      <c r="J790" s="896"/>
      <c r="K790" s="89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3" t="s">
        <v>185</v>
      </c>
      <c r="F791" s="723"/>
      <c r="G791" s="568"/>
      <c r="H791" s="898" t="s">
        <v>12</v>
      </c>
      <c r="I791" s="896"/>
      <c r="J791" s="896"/>
      <c r="K791" s="897"/>
      <c r="L791" s="93">
        <f ca="1">IFERROR(__xludf.DUMMYFUNCTION("IMPORTRANGE(""https://docs.google.com/spreadsheets/d/1QqKyyYR6Q21VydFLVH3TRQUabQu_ym0Zz7PgGX0-kHA/edit?usp=sharing"",""แผน!JJ21"")"),137280)</f>
        <v>137280</v>
      </c>
      <c r="M791" s="93">
        <v>0</v>
      </c>
      <c r="N791" s="93">
        <f>N792+N793+N794+N795</f>
        <v>10000</v>
      </c>
      <c r="O791" s="93">
        <f t="shared" ca="1" si="320"/>
        <v>7.2843822843822847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27"/>
      <c r="D792" s="727"/>
      <c r="E792" s="727"/>
      <c r="F792" s="727" t="s">
        <v>186</v>
      </c>
      <c r="G792" s="189"/>
      <c r="H792" s="899" t="s">
        <v>12</v>
      </c>
      <c r="I792" s="896"/>
      <c r="J792" s="896"/>
      <c r="K792" s="897"/>
      <c r="L792" s="466"/>
      <c r="M792" s="466"/>
      <c r="N792" s="798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27"/>
      <c r="D793" s="727"/>
      <c r="E793" s="727"/>
      <c r="F793" s="727" t="s">
        <v>187</v>
      </c>
      <c r="G793" s="189"/>
      <c r="H793" s="899" t="s">
        <v>12</v>
      </c>
      <c r="I793" s="896"/>
      <c r="J793" s="896"/>
      <c r="K793" s="897"/>
      <c r="L793" s="466"/>
      <c r="M793" s="466"/>
      <c r="N793" s="798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27"/>
      <c r="D794" s="727"/>
      <c r="E794" s="727"/>
      <c r="F794" s="727" t="s">
        <v>188</v>
      </c>
      <c r="G794" s="189"/>
      <c r="H794" s="899" t="s">
        <v>12</v>
      </c>
      <c r="I794" s="896"/>
      <c r="J794" s="896"/>
      <c r="K794" s="897"/>
      <c r="L794" s="466"/>
      <c r="M794" s="466"/>
      <c r="N794" s="798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27"/>
      <c r="D795" s="727"/>
      <c r="E795" s="727"/>
      <c r="F795" s="727" t="s">
        <v>189</v>
      </c>
      <c r="G795" s="189"/>
      <c r="H795" s="899" t="s">
        <v>12</v>
      </c>
      <c r="I795" s="896"/>
      <c r="J795" s="896"/>
      <c r="K795" s="897"/>
      <c r="L795" s="466"/>
      <c r="M795" s="466"/>
      <c r="N795" s="798">
        <v>10000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27"/>
      <c r="D796" s="571" t="s">
        <v>21</v>
      </c>
      <c r="E796" s="727"/>
      <c r="F796" s="727"/>
      <c r="G796" s="189"/>
      <c r="H796" s="902" t="s">
        <v>12</v>
      </c>
      <c r="I796" s="900"/>
      <c r="J796" s="900"/>
      <c r="K796" s="901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3"/>
      <c r="D797" s="723"/>
      <c r="E797" s="723" t="s">
        <v>18</v>
      </c>
      <c r="F797" s="723"/>
      <c r="G797" s="568"/>
      <c r="H797" s="898" t="s">
        <v>12</v>
      </c>
      <c r="I797" s="900"/>
      <c r="J797" s="900"/>
      <c r="K797" s="90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3"/>
      <c r="D798" s="723"/>
      <c r="E798" s="723" t="s">
        <v>19</v>
      </c>
      <c r="F798" s="723"/>
      <c r="G798" s="568"/>
      <c r="H798" s="903" t="s">
        <v>12</v>
      </c>
      <c r="I798" s="900"/>
      <c r="J798" s="900"/>
      <c r="K798" s="90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27" t="s">
        <v>16</v>
      </c>
      <c r="D799" s="872" t="s">
        <v>38</v>
      </c>
      <c r="E799" s="725"/>
      <c r="F799" s="725"/>
      <c r="G799" s="578"/>
      <c r="H799" s="904"/>
      <c r="I799" s="900"/>
      <c r="J799" s="900"/>
      <c r="K799" s="901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6"/>
      <c r="H800" s="905" t="s">
        <v>34</v>
      </c>
      <c r="I800" s="900"/>
      <c r="J800" s="906">
        <f ca="1">IFERROR(__xludf.DUMMYFUNCTION("IMPORTRANGE(""https://docs.google.com/spreadsheets/d/1MaWodYyGHDf7siQLGxnXhG4mBNTNIuy296niS2xXulU/edit?usp=sharing"",""RTK!H21"")"),44)</f>
        <v>44</v>
      </c>
      <c r="K800" s="897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6"/>
      <c r="H801" s="899" t="s">
        <v>46</v>
      </c>
      <c r="I801" s="906">
        <f ca="1">IFERROR(__xludf.DUMMYFUNCTION("IMPORTRANGE(""https://docs.google.com/spreadsheets/d/1MaWodYyGHDf7siQLGxnXhG4mBNTNIuy296niS2xXulU/edit?usp=sharing"",""RTK!G21"")"),2000)</f>
        <v>2000</v>
      </c>
      <c r="J801" s="907">
        <f ca="1">IFERROR(__xludf.DUMMYFUNCTION("IMPORTRANGE(""https://docs.google.com/spreadsheets/d/1MaWodYyGHDf7siQLGxnXhG4mBNTNIuy296niS2xXulU/edit?usp=sharing"",""RTK!I21"")"),1041)</f>
        <v>1041</v>
      </c>
      <c r="K801" s="908">
        <f ca="1">IF(I801&gt;0,J801*100/I801,0)</f>
        <v>52.05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4"/>
      <c r="F802" s="780" t="s">
        <v>321</v>
      </c>
      <c r="G802" s="582"/>
      <c r="H802" s="905" t="s">
        <v>34</v>
      </c>
      <c r="I802" s="900"/>
      <c r="J802" s="906">
        <f ca="1">IFERROR(__xludf.DUMMYFUNCTION("IMPORTRANGE(""https://docs.google.com/spreadsheets/d/1MaWodYyGHDf7siQLGxnXhG4mBNTNIuy296niS2xXulU/edit?usp=sharing"",""RTK!L21"")"),0)</f>
        <v>0</v>
      </c>
      <c r="K802" s="897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4"/>
      <c r="F803" s="684"/>
      <c r="G803" s="582"/>
      <c r="H803" s="905" t="s">
        <v>46</v>
      </c>
      <c r="I803" s="906">
        <f ca="1">IFERROR(__xludf.DUMMYFUNCTION("IMPORTRANGE(""https://docs.google.com/spreadsheets/d/1MaWodYyGHDf7siQLGxnXhG4mBNTNIuy296niS2xXulU/edit?usp=sharing"",""RTK!K21"")"),0)</f>
        <v>0</v>
      </c>
      <c r="J803" s="907">
        <f ca="1">IFERROR(__xludf.DUMMYFUNCTION("IMPORTRANGE(""https://docs.google.com/spreadsheets/d/1MaWodYyGHDf7siQLGxnXhG4mBNTNIuy296niS2xXulU/edit?usp=sharing"",""RTK!M21"")"),0)</f>
        <v>0</v>
      </c>
      <c r="K803" s="90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57">
        <v>13</v>
      </c>
      <c r="B804" s="758" t="s">
        <v>322</v>
      </c>
      <c r="C804" s="759"/>
      <c r="D804" s="783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 t="shared" si="327"/>
        <v>0</v>
      </c>
      <c r="L804" s="764"/>
      <c r="M804" s="764"/>
      <c r="N804" s="764"/>
      <c r="O804" s="764"/>
      <c r="P804" s="764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3"/>
      <c r="C805" s="723" t="s">
        <v>16</v>
      </c>
      <c r="D805" s="808" t="s">
        <v>17</v>
      </c>
      <c r="E805" s="804"/>
      <c r="F805" s="804"/>
      <c r="G805" s="568"/>
      <c r="H805" s="612" t="s">
        <v>12</v>
      </c>
      <c r="I805" s="584"/>
      <c r="J805" s="584"/>
      <c r="K805" s="93"/>
      <c r="L805" s="613">
        <f t="shared" ref="L805:N805" si="328">L806+L807</f>
        <v>0</v>
      </c>
      <c r="M805" s="613">
        <f t="shared" si="328"/>
        <v>0</v>
      </c>
      <c r="N805" s="613">
        <f t="shared" si="328"/>
        <v>0</v>
      </c>
      <c r="O805" s="613">
        <f t="shared" ref="O805:O810" si="329">IF(L805&gt;0,N805*100/L805,0)</f>
        <v>0</v>
      </c>
      <c r="P805" s="613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3"/>
      <c r="C806" s="723"/>
      <c r="D806" s="581"/>
      <c r="E806" s="723" t="s">
        <v>184</v>
      </c>
      <c r="F806" s="723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3"/>
      <c r="C807" s="723"/>
      <c r="D807" s="581"/>
      <c r="E807" s="723" t="s">
        <v>185</v>
      </c>
      <c r="F807" s="723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3"/>
      <c r="D808" s="874" t="s">
        <v>20</v>
      </c>
      <c r="E808" s="804"/>
      <c r="F808" s="804"/>
      <c r="G808" s="568"/>
      <c r="H808" s="612" t="s">
        <v>12</v>
      </c>
      <c r="I808" s="166"/>
      <c r="J808" s="166"/>
      <c r="K808" s="167"/>
      <c r="L808" s="613">
        <f t="shared" ref="L808:N808" si="332">L809+L810</f>
        <v>0</v>
      </c>
      <c r="M808" s="613">
        <f t="shared" si="332"/>
        <v>0</v>
      </c>
      <c r="N808" s="613">
        <f t="shared" si="332"/>
        <v>0</v>
      </c>
      <c r="O808" s="613">
        <f t="shared" si="329"/>
        <v>0</v>
      </c>
      <c r="P808" s="613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3"/>
      <c r="C809" s="723"/>
      <c r="D809" s="581"/>
      <c r="E809" s="723" t="s">
        <v>184</v>
      </c>
      <c r="F809" s="723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3"/>
      <c r="C810" s="723"/>
      <c r="D810" s="581"/>
      <c r="E810" s="723" t="s">
        <v>185</v>
      </c>
      <c r="F810" s="723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2"/>
      <c r="C811" s="723"/>
      <c r="D811" s="572"/>
      <c r="E811" s="723"/>
      <c r="F811" s="723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2"/>
      <c r="C812" s="723"/>
      <c r="D812" s="572"/>
      <c r="E812" s="723"/>
      <c r="F812" s="723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2"/>
      <c r="C813" s="723"/>
      <c r="D813" s="572"/>
      <c r="E813" s="723"/>
      <c r="F813" s="723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2"/>
      <c r="C814" s="723"/>
      <c r="D814" s="572"/>
      <c r="E814" s="723"/>
      <c r="F814" s="723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3"/>
      <c r="D815" s="874" t="s">
        <v>21</v>
      </c>
      <c r="E815" s="804"/>
      <c r="F815" s="804"/>
      <c r="G815" s="568"/>
      <c r="H815" s="747" t="s">
        <v>12</v>
      </c>
      <c r="I815" s="166"/>
      <c r="J815" s="166"/>
      <c r="K815" s="167"/>
      <c r="L815" s="613">
        <f t="shared" ref="L815:N815" si="333">L816+L817</f>
        <v>0</v>
      </c>
      <c r="M815" s="613">
        <f t="shared" si="333"/>
        <v>0</v>
      </c>
      <c r="N815" s="613">
        <f t="shared" si="333"/>
        <v>0</v>
      </c>
      <c r="O815" s="613">
        <f t="shared" ref="O815:O817" si="334">IF(L815&gt;0,N815*100/L815,0)</f>
        <v>0</v>
      </c>
      <c r="P815" s="613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3"/>
      <c r="D816" s="572"/>
      <c r="E816" s="723" t="s">
        <v>18</v>
      </c>
      <c r="F816" s="723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3"/>
      <c r="D817" s="572"/>
      <c r="E817" s="723" t="s">
        <v>19</v>
      </c>
      <c r="F817" s="723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3" t="s">
        <v>16</v>
      </c>
      <c r="D818" s="875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5"/>
      <c r="B819" s="786"/>
      <c r="C819" s="788"/>
      <c r="D819" s="786"/>
      <c r="E819" s="788" t="s">
        <v>323</v>
      </c>
      <c r="F819" s="788"/>
      <c r="G819" s="789"/>
      <c r="H819" s="790" t="s">
        <v>46</v>
      </c>
      <c r="I819" s="791"/>
      <c r="J819" s="791"/>
      <c r="K819" s="792"/>
      <c r="L819" s="792"/>
      <c r="M819" s="792"/>
      <c r="N819" s="792"/>
      <c r="O819" s="792"/>
      <c r="P819" s="792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76" t="s">
        <v>332</v>
      </c>
      <c r="B820" s="877"/>
      <c r="C820" s="877"/>
      <c r="D820" s="878"/>
      <c r="E820" s="877"/>
      <c r="F820" s="877"/>
      <c r="G820" s="879"/>
      <c r="H820" s="880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881"/>
      <c r="J820" s="881"/>
      <c r="K820" s="882"/>
      <c r="L820" s="882"/>
      <c r="M820" s="882"/>
      <c r="N820" s="882"/>
      <c r="O820" s="882"/>
      <c r="P820" s="882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08"/>
      <c r="B821" s="727" t="s">
        <v>325</v>
      </c>
      <c r="C821" s="727"/>
      <c r="D821" s="539"/>
      <c r="E821" s="727"/>
      <c r="F821" s="727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IFERROR(__xludf.DUMMYFUNCTION("IMPORTRANGE(""https://docs.google.com/spreadsheets/d/19vJNZY_5yjcGF2XGBMNZRCAIB0Kwfpjp8YEOfu-bneM/edit?usp=sharing"",""งานกองทุน!D21"")"),2490000)</f>
        <v>2490000</v>
      </c>
      <c r="J821" s="270">
        <f ca="1">IFERROR(__xludf.DUMMYFUNCTION("IMPORTRANGE(""https://docs.google.com/spreadsheets/d/19vJNZY_5yjcGF2XGBMNZRCAIB0Kwfpjp8YEOfu-bneM/edit?usp=sharing"",""งานกองทุน!F21"")"),183000)</f>
        <v>183000</v>
      </c>
      <c r="K821" s="466">
        <f t="shared" ref="K821:K828" ca="1" si="336">IF(I821&gt;0,J821*100/I821,0)</f>
        <v>7.3493975903614457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08"/>
      <c r="B822" s="727"/>
      <c r="C822" s="727"/>
      <c r="D822" s="539"/>
      <c r="E822" s="727"/>
      <c r="F822" s="727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IFERROR(__xludf.DUMMYFUNCTION("IMPORTRANGE(""https://docs.google.com/spreadsheets/d/19vJNZY_5yjcGF2XGBMNZRCAIB0Kwfpjp8YEOfu-bneM/edit?usp=sharing"",""งานกองทุน!C21"")"),91)</f>
        <v>91</v>
      </c>
      <c r="J822" s="270">
        <f ca="1">IFERROR(__xludf.DUMMYFUNCTION("IMPORTRANGE(""https://docs.google.com/spreadsheets/d/19vJNZY_5yjcGF2XGBMNZRCAIB0Kwfpjp8YEOfu-bneM/edit?usp=sharing"",""งานกองทุน!E21"")"),8)</f>
        <v>8</v>
      </c>
      <c r="K822" s="466">
        <f t="shared" ca="1" si="336"/>
        <v>8.791208791208792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08"/>
      <c r="B823" s="727" t="s">
        <v>326</v>
      </c>
      <c r="C823" s="727"/>
      <c r="D823" s="539"/>
      <c r="E823" s="727"/>
      <c r="F823" s="727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270">
        <f ca="1">IFERROR(__xludf.DUMMYFUNCTION("IMPORTRANGE(""https://docs.google.com/spreadsheets/d/19vJNZY_5yjcGF2XGBMNZRCAIB0Kwfpjp8YEOfu-bneM/edit?usp=sharing"",""งานกองทุน!K21"")"),39230.79)</f>
        <v>39230.79</v>
      </c>
      <c r="K823" s="466">
        <f t="shared" ca="1" si="336"/>
        <v>7.0278408498217191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08"/>
      <c r="B824" s="727"/>
      <c r="C824" s="727"/>
      <c r="D824" s="539"/>
      <c r="E824" s="727"/>
      <c r="F824" s="727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IFERROR(__xludf.DUMMYFUNCTION("IMPORTRANGE(""https://docs.google.com/spreadsheets/d/19vJNZY_5yjcGF2XGBMNZRCAIB0Kwfpjp8YEOfu-bneM/edit?usp=sharing"",""งานกองทุน!H21"")"),30)</f>
        <v>30</v>
      </c>
      <c r="J824" s="270">
        <f ca="1">IFERROR(__xludf.DUMMYFUNCTION("IMPORTRANGE(""https://docs.google.com/spreadsheets/d/19vJNZY_5yjcGF2XGBMNZRCAIB0Kwfpjp8YEOfu-bneM/edit?usp=sharing"",""งานกองทุน!J21"")"),2)</f>
        <v>2</v>
      </c>
      <c r="K824" s="466">
        <f t="shared" ca="1" si="336"/>
        <v>6.666666666666667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08"/>
      <c r="B825" s="727" t="s">
        <v>327</v>
      </c>
      <c r="C825" s="727"/>
      <c r="D825" s="539"/>
      <c r="E825" s="727"/>
      <c r="F825" s="727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270">
        <f ca="1">IFERROR(__xludf.DUMMYFUNCTION("IMPORTRANGE(""https://docs.google.com/spreadsheets/d/19vJNZY_5yjcGF2XGBMNZRCAIB0Kwfpjp8YEOfu-bneM/edit?usp=sharing"",""งานกองทุน!P21"")"),1405639.51)</f>
        <v>1405639.51</v>
      </c>
      <c r="K825" s="466">
        <f t="shared" ca="1" si="336"/>
        <v>24.393961843633399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08"/>
      <c r="B826" s="727"/>
      <c r="C826" s="727"/>
      <c r="D826" s="539"/>
      <c r="E826" s="727"/>
      <c r="F826" s="727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IFERROR(__xludf.DUMMYFUNCTION("IMPORTRANGE(""https://docs.google.com/spreadsheets/d/19vJNZY_5yjcGF2XGBMNZRCAIB0Kwfpjp8YEOfu-bneM/edit?usp=sharing"",""งานกองทุน!M21"")"),468)</f>
        <v>468</v>
      </c>
      <c r="J826" s="270">
        <f ca="1">IFERROR(__xludf.DUMMYFUNCTION("IMPORTRANGE(""https://docs.google.com/spreadsheets/d/19vJNZY_5yjcGF2XGBMNZRCAIB0Kwfpjp8YEOfu-bneM/edit?usp=sharing"",""งานกองทุน!O21"")"),102)</f>
        <v>102</v>
      </c>
      <c r="K826" s="466">
        <f t="shared" ca="1" si="336"/>
        <v>21.794871794871796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08"/>
      <c r="B827" s="727" t="s">
        <v>328</v>
      </c>
      <c r="C827" s="727"/>
      <c r="D827" s="539"/>
      <c r="E827" s="727"/>
      <c r="F827" s="727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IFERROR(__xludf.DUMMYFUNCTION("IMPORTRANGE(""https://docs.google.com/spreadsheets/d/19vJNZY_5yjcGF2XGBMNZRCAIB0Kwfpjp8YEOfu-bneM/edit?usp=sharing"",""งานกองทุน!S21"")"),2600000)</f>
        <v>2600000</v>
      </c>
      <c r="J827" s="270">
        <f ca="1">IFERROR(__xludf.DUMMYFUNCTION("IMPORTRANGE(""https://docs.google.com/spreadsheets/d/19vJNZY_5yjcGF2XGBMNZRCAIB0Kwfpjp8YEOfu-bneM/edit?usp=sharing"",""งานกองทุน!U21"")"),460000)</f>
        <v>460000</v>
      </c>
      <c r="K827" s="466">
        <f t="shared" ca="1" si="336"/>
        <v>17.692307692307693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1"/>
      <c r="B828" s="713"/>
      <c r="C828" s="713"/>
      <c r="D828" s="712"/>
      <c r="E828" s="713"/>
      <c r="F828" s="713"/>
      <c r="G828" s="799"/>
      <c r="H828" s="800" t="s">
        <v>35</v>
      </c>
      <c r="I828" s="469">
        <f ca="1">IFERROR(__xludf.DUMMYFUNCTION("IMPORTRANGE(""https://docs.google.com/spreadsheets/d/19vJNZY_5yjcGF2XGBMNZRCAIB0Kwfpjp8YEOfu-bneM/edit?usp=sharing"",""งานกองทุน!R21"")"),104)</f>
        <v>104</v>
      </c>
      <c r="J828" s="469">
        <f ca="1">IFERROR(__xludf.DUMMYFUNCTION("IMPORTRANGE(""https://docs.google.com/spreadsheets/d/19vJNZY_5yjcGF2XGBMNZRCAIB0Kwfpjp8YEOfu-bneM/edit?usp=sharing"",""งานกองทุน!T21"")"),20)</f>
        <v>20</v>
      </c>
      <c r="K828" s="470">
        <f t="shared" ca="1" si="336"/>
        <v>19.23076923076923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36</vt:i4>
      </vt:variant>
    </vt:vector>
  </HeadingPairs>
  <TitlesOfParts>
    <vt:vector size="54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เชียงใหม่!Print_Area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2023-02-02T07:07:33Z</dcterms:modified>
</cp:coreProperties>
</file>